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260" windowHeight="6675" tabRatio="817" firstSheet="4" activeTab="11"/>
  </bookViews>
  <sheets>
    <sheet name="Расшифровка затрат" sheetId="1" r:id="rId1"/>
    <sheet name="до 15 кВт- льготн. катег. " sheetId="2" r:id="rId2"/>
    <sheet name="до 150 без проверки и осмотра" sheetId="3" r:id="rId3"/>
    <sheet name="до 150 с проверкой без осмотра" sheetId="4" r:id="rId4"/>
    <sheet name="св. 150 менее 670" sheetId="5" r:id="rId5"/>
    <sheet name="670 до 1500" sheetId="6" r:id="rId6"/>
    <sheet name="НВВ" sheetId="7" r:id="rId7"/>
    <sheet name="Расчет С1" sheetId="8" r:id="rId8"/>
    <sheet name="Автотранспорт" sheetId="9" r:id="rId9"/>
    <sheet name="Выпадающие доходы" sheetId="10" r:id="rId10"/>
    <sheet name="общехоз" sheetId="11" r:id="rId11"/>
    <sheet name="9 мес." sheetId="12" r:id="rId12"/>
  </sheets>
  <definedNames>
    <definedName name="_xlnm.Print_Area" localSheetId="5">'670 до 1500'!$A$1:$J$54</definedName>
    <definedName name="_xlnm.Print_Area" localSheetId="1">'до 15 кВт- льготн. катег. '!$A$2:$J$53</definedName>
    <definedName name="_xlnm.Print_Area" localSheetId="2">'до 150 без проверки и осмотра'!$A$2:$J$54</definedName>
    <definedName name="_xlnm.Print_Area" localSheetId="3">'до 150 с проверкой без осмотра'!$A$1:$J$54</definedName>
    <definedName name="_xlnm.Print_Area" localSheetId="0">'Расшифровка затрат'!$A$1:$P$61</definedName>
    <definedName name="_xlnm.Print_Area" localSheetId="4">'св. 150 менее 670'!$A$1:$J$55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<sst xmlns="http://schemas.openxmlformats.org/spreadsheetml/2006/main" count="767" uniqueCount="298">
  <si>
    <t>1.</t>
  </si>
  <si>
    <t>2.</t>
  </si>
  <si>
    <t>3.</t>
  </si>
  <si>
    <t>4.</t>
  </si>
  <si>
    <t>Вспомогательные материалы</t>
  </si>
  <si>
    <t>Перечень работ</t>
  </si>
  <si>
    <t>итого:</t>
  </si>
  <si>
    <t>Отчисления на социальные нужды</t>
  </si>
  <si>
    <t>№ п/п</t>
  </si>
  <si>
    <t>1.1.</t>
  </si>
  <si>
    <t>5.</t>
  </si>
  <si>
    <t>4.1.</t>
  </si>
  <si>
    <t>4.2.</t>
  </si>
  <si>
    <t>4.3.</t>
  </si>
  <si>
    <t>1.5.</t>
  </si>
  <si>
    <t>1.2.</t>
  </si>
  <si>
    <t>1.3.</t>
  </si>
  <si>
    <t>6.</t>
  </si>
  <si>
    <t>Трудозатраты</t>
  </si>
  <si>
    <t>Транспортные расходы</t>
  </si>
  <si>
    <t>Состав исполнителей</t>
  </si>
  <si>
    <t>Трудозатраты, чел-час</t>
  </si>
  <si>
    <t>Часовой фонд оплаты труда, руб./чел-час</t>
  </si>
  <si>
    <t>Заработная плата исполнителя за время, затраченное на выполнение работ, руб.</t>
  </si>
  <si>
    <t>Состав автотранспорта (спецтехники)</t>
  </si>
  <si>
    <t>Число часов использования автотранспорта (спецтехники), маш-час</t>
  </si>
  <si>
    <t>Стоимость 1 маш-часа автотранспорта (спецтехники), руб.</t>
  </si>
  <si>
    <t>Стоимость используемого автотранспорта (спецтехники), руб.</t>
  </si>
  <si>
    <t>Наименование, единица измерения</t>
  </si>
  <si>
    <t>Кол-во, шт.</t>
  </si>
  <si>
    <t>Стоимость за единицу, руб.</t>
  </si>
  <si>
    <t>Стоимость используемых материалов, руб.</t>
  </si>
  <si>
    <t>6.6.</t>
  </si>
  <si>
    <t>5.1.</t>
  </si>
  <si>
    <t>5.2.</t>
  </si>
  <si>
    <t>5.3.</t>
  </si>
  <si>
    <t>ЗАРПЛАТА МЕСЯЧНАЯ</t>
  </si>
  <si>
    <t>оплата труда</t>
  </si>
  <si>
    <t>ЕСН</t>
  </si>
  <si>
    <t>транспортные расходы</t>
  </si>
  <si>
    <t>общехозяйственные расходы</t>
  </si>
  <si>
    <t>внереализационные расходы</t>
  </si>
  <si>
    <t>6.1.</t>
  </si>
  <si>
    <t>Фактические действия по присоединению и обеспечению работы энергопринмающего устройств в электрической сети, в т.ч.</t>
  </si>
  <si>
    <t>Расходы по подготовке и выдаче сетевой организацией технических условий (ТУ) Заявителю</t>
  </si>
  <si>
    <t>Разработка сетевой организацией проектной документации</t>
  </si>
  <si>
    <t>Выполнение технических условий сетевой организацией</t>
  </si>
  <si>
    <t xml:space="preserve">Проверка сетевой организацией выполнения Заявителем технических условий </t>
  </si>
  <si>
    <t>6.2.</t>
  </si>
  <si>
    <t>№ 
п.п.</t>
  </si>
  <si>
    <t>Наименование мероприятий</t>
  </si>
  <si>
    <t>Расходы на 1 присоединение, 
руб. без НДС</t>
  </si>
  <si>
    <t>Разбивка НВВ
согласно приложения 1  по каждому мероприятию, (руб.)</t>
  </si>
  <si>
    <t>Объем максимальной мощности, (кВт)</t>
  </si>
  <si>
    <t>Ставки  для расчета платы по каждому мероприятию, (руб./кВт) без НДС</t>
  </si>
  <si>
    <t>руб/кВт</t>
  </si>
  <si>
    <t>Кол-во заявок</t>
  </si>
  <si>
    <t>мощность</t>
  </si>
  <si>
    <t>Итого ставка платы за технологическое присоединение</t>
  </si>
  <si>
    <t xml:space="preserve">Подготовка и выдача сетевой организацией технических условий  Заявителю (ТУ) </t>
  </si>
  <si>
    <t xml:space="preserve"> 1.1. </t>
  </si>
  <si>
    <t>Расходы на оплату труда</t>
  </si>
  <si>
    <t xml:space="preserve"> 1.2. </t>
  </si>
  <si>
    <t xml:space="preserve"> 1.3. </t>
  </si>
  <si>
    <t xml:space="preserve"> 1.4. </t>
  </si>
  <si>
    <t>1.6.</t>
  </si>
  <si>
    <t>Услуги стационарной телефонной связи</t>
  </si>
  <si>
    <t xml:space="preserve">Общепроизводственные и общехозяйственные расходы </t>
  </si>
  <si>
    <t xml:space="preserve">Разработка сетевой организацией         
проектной документации по строительству «последней мили» 
</t>
  </si>
  <si>
    <t xml:space="preserve">Выполнение сетевой организацией, мероприятий,  связанных со строительством «последней мили» </t>
  </si>
  <si>
    <t>Х</t>
  </si>
  <si>
    <t>3.1.</t>
  </si>
  <si>
    <t xml:space="preserve">Строительство воздушных линий    </t>
  </si>
  <si>
    <t>3.2.</t>
  </si>
  <si>
    <t xml:space="preserve">Строительство кабельных линий                         </t>
  </si>
  <si>
    <t>3.3.</t>
  </si>
  <si>
    <t xml:space="preserve">Строительство пунктов секционирования   </t>
  </si>
  <si>
    <t>3.4.</t>
  </si>
  <si>
    <t xml:space="preserve">Строительство комплектных               
трансформаторных подстанций (КТП),      
распределительных трансформаторных      
подстанций (РТП) с уровнем напряжения до35 кВ                                   
</t>
  </si>
  <si>
    <t>3.5.</t>
  </si>
  <si>
    <t xml:space="preserve">Строительство центров питания,          
подстанций уровнем напряжения 35 кВ и   выше (ПС)                               
</t>
  </si>
  <si>
    <t xml:space="preserve">Проверка сетевой организацией выполнения Заявителем ТУ </t>
  </si>
  <si>
    <t>4.4.</t>
  </si>
  <si>
    <t>4.5.</t>
  </si>
  <si>
    <t>4.6.</t>
  </si>
  <si>
    <t xml:space="preserve">Участие в осмотре должностным лицом     
Ростехнадзора присоединяемых Устройств   Заявителя  
</t>
  </si>
  <si>
    <t>5.4.</t>
  </si>
  <si>
    <t>5.5.</t>
  </si>
  <si>
    <t>5.6.</t>
  </si>
  <si>
    <t>5.7.</t>
  </si>
  <si>
    <t>5.8.</t>
  </si>
  <si>
    <t xml:space="preserve">Фактические действия по присоединению и обеспечению работы Устройств в   электрической сети              </t>
  </si>
  <si>
    <t>6.3.</t>
  </si>
  <si>
    <t>6.4.</t>
  </si>
  <si>
    <t>6.5.</t>
  </si>
  <si>
    <t xml:space="preserve">Общехозяйственные расходы </t>
  </si>
  <si>
    <t xml:space="preserve">Внереализационные расходы </t>
  </si>
  <si>
    <t>Расчет</t>
  </si>
  <si>
    <t>тыс. руб.</t>
  </si>
  <si>
    <t>N п/п</t>
  </si>
  <si>
    <t xml:space="preserve">Показатели               </t>
  </si>
  <si>
    <t xml:space="preserve">1.   </t>
  </si>
  <si>
    <t xml:space="preserve">Расходы по выполнению мероприятий по   </t>
  </si>
  <si>
    <t xml:space="preserve">технологическому присоединению, всего  </t>
  </si>
  <si>
    <t xml:space="preserve">1.1.  </t>
  </si>
  <si>
    <t xml:space="preserve">Вспомогательные материалы              </t>
  </si>
  <si>
    <t xml:space="preserve">1.2.  </t>
  </si>
  <si>
    <t xml:space="preserve">Энергия на хозяйственные нужды         </t>
  </si>
  <si>
    <t xml:space="preserve">1.3.  </t>
  </si>
  <si>
    <t xml:space="preserve">Оплата труда ППП (без ЕСН)             </t>
  </si>
  <si>
    <t xml:space="preserve">1.4.  </t>
  </si>
  <si>
    <t>Отчисления на страховые взносы</t>
  </si>
  <si>
    <t xml:space="preserve">1.5.  </t>
  </si>
  <si>
    <t xml:space="preserve">Прочие расходы, всего, в том числе:    </t>
  </si>
  <si>
    <t xml:space="preserve">1.5.1. </t>
  </si>
  <si>
    <t xml:space="preserve">- работы и услуги производственного    </t>
  </si>
  <si>
    <t xml:space="preserve">характера                              </t>
  </si>
  <si>
    <t xml:space="preserve">1.5.2. </t>
  </si>
  <si>
    <t xml:space="preserve">- налоги и сборы, уменьшающие налогооблагаемую базу на прибыль организаций, всего                      </t>
  </si>
  <si>
    <t xml:space="preserve">1.5.3. </t>
  </si>
  <si>
    <t xml:space="preserve">- работы и услуги непроизводственного  </t>
  </si>
  <si>
    <t xml:space="preserve">характера, в т.ч.:                     </t>
  </si>
  <si>
    <t>1.5.3.1.</t>
  </si>
  <si>
    <t xml:space="preserve">услуги связи                           </t>
  </si>
  <si>
    <t>1.5.3.2.</t>
  </si>
  <si>
    <t xml:space="preserve">расходы на охрану и пожарную           </t>
  </si>
  <si>
    <t xml:space="preserve">безопасность                           </t>
  </si>
  <si>
    <t>1.5.3.3.</t>
  </si>
  <si>
    <t>расходы на информационное обслуживание,</t>
  </si>
  <si>
    <t xml:space="preserve">консультационные и юридические услуги  </t>
  </si>
  <si>
    <t>1.5.3.4.</t>
  </si>
  <si>
    <t xml:space="preserve">плата за аренду имущества              </t>
  </si>
  <si>
    <t>1.5.3.5.</t>
  </si>
  <si>
    <t xml:space="preserve">другие прочие расходы, связанные с     </t>
  </si>
  <si>
    <t xml:space="preserve">производством и реализацией            </t>
  </si>
  <si>
    <t>1.5.3.5.1.</t>
  </si>
  <si>
    <t>оплата труда персонала УТП филиала</t>
  </si>
  <si>
    <t>1.5.3.5.2.</t>
  </si>
  <si>
    <t>отчисления на страховые взносы от п. 1.5.3.5.1.</t>
  </si>
  <si>
    <t>1.5.3.5.3.</t>
  </si>
  <si>
    <t>рекламные услуги и услуги PR</t>
  </si>
  <si>
    <t>1.5.3.5.4.</t>
  </si>
  <si>
    <t>резерв на оплату предстоящих отпусков</t>
  </si>
  <si>
    <t>1.5.3.5.5.</t>
  </si>
  <si>
    <t>прочие расходы (3 дня б/л)</t>
  </si>
  <si>
    <t>1.5.3.5.6.</t>
  </si>
  <si>
    <t>услуги управления</t>
  </si>
  <si>
    <t xml:space="preserve">1.6.  </t>
  </si>
  <si>
    <t xml:space="preserve">Внереализационные расходы, всего       </t>
  </si>
  <si>
    <t xml:space="preserve">1.6.1. </t>
  </si>
  <si>
    <t xml:space="preserve">- расходы на услуги банков             </t>
  </si>
  <si>
    <t xml:space="preserve">1.6.2. </t>
  </si>
  <si>
    <t xml:space="preserve">- % за пользование кредитом            </t>
  </si>
  <si>
    <t xml:space="preserve">1.6.3. </t>
  </si>
  <si>
    <t xml:space="preserve">- прочие обоснованные расходы          </t>
  </si>
  <si>
    <t xml:space="preserve">1.6.4. </t>
  </si>
  <si>
    <t xml:space="preserve">- денежные выплаты социального         </t>
  </si>
  <si>
    <t xml:space="preserve">характера (по Коллективному договору)  </t>
  </si>
  <si>
    <t xml:space="preserve">2.   </t>
  </si>
  <si>
    <t xml:space="preserve">Расходы на строительство объектов      </t>
  </si>
  <si>
    <t xml:space="preserve">электросетевого хозяйства - от         </t>
  </si>
  <si>
    <t xml:space="preserve">существующих объектов электросетевого  </t>
  </si>
  <si>
    <t xml:space="preserve">хозяйства до присоединяемых            </t>
  </si>
  <si>
    <t xml:space="preserve">энергопринимающих устройств и (или)    </t>
  </si>
  <si>
    <t xml:space="preserve">объектов электроэнергетики             </t>
  </si>
  <si>
    <t xml:space="preserve">3.   </t>
  </si>
  <si>
    <t xml:space="preserve">Выпадающие доходы/экономия средств     </t>
  </si>
  <si>
    <t xml:space="preserve">4.   </t>
  </si>
  <si>
    <t xml:space="preserve">Необходимая валовая выручка (сумма п. 1- 3)                                   </t>
  </si>
  <si>
    <t>Всего</t>
  </si>
  <si>
    <t>Наименование организации, категории заявителей</t>
  </si>
  <si>
    <t>Стоимость 1 присоединения, руб.</t>
  </si>
  <si>
    <t>0,4 кВ; 6-10 кВ</t>
  </si>
  <si>
    <t>В С Е Г О</t>
  </si>
  <si>
    <t>Расшифровка, затрат к калькуляциям стоимости мероприятий (за исключением строительства электросетевых объектов),</t>
  </si>
  <si>
    <t>Проверка существующей схемы электроснабжения</t>
  </si>
  <si>
    <t>Замер параметров тока, напряжения в трансформаторной подстанции, определение существующей нагрузки</t>
  </si>
  <si>
    <t xml:space="preserve">Разработка схемы электроснабжения и мероприятий по подключению дополнительной мощности, оформление технических условий  и проекта договора технологического присоединения </t>
  </si>
  <si>
    <t>инженер ПТО</t>
  </si>
  <si>
    <t>Проверка выполнения технических условий  в части внешнего энергоснабжения</t>
  </si>
  <si>
    <t>Привязка трассы на местности с последующим нанесением на рабочие планы</t>
  </si>
  <si>
    <t>Проверка выполнения технических условий  в части организации учета, оформления документации</t>
  </si>
  <si>
    <t>Проведение оперативных переключений для обеспечения возможности технологического присоединения</t>
  </si>
  <si>
    <t>Присоединение энергопринимающего устройства Заявителя</t>
  </si>
  <si>
    <t>№№ п/п</t>
  </si>
  <si>
    <t>Статьи затрат</t>
  </si>
  <si>
    <t>Сумма, руб.</t>
  </si>
  <si>
    <t>Фонд заработной платы</t>
  </si>
  <si>
    <t>Амортизация</t>
  </si>
  <si>
    <t>Расходы ГСМ</t>
  </si>
  <si>
    <t>Итого</t>
  </si>
  <si>
    <t>Запасные части</t>
  </si>
  <si>
    <t>фот</t>
  </si>
  <si>
    <t>отч.</t>
  </si>
  <si>
    <t>трансп.</t>
  </si>
  <si>
    <t>общехоз.</t>
  </si>
  <si>
    <t>внереал.</t>
  </si>
  <si>
    <t>Изучение представленных документов</t>
  </si>
  <si>
    <t>начальник ПС электрические сети</t>
  </si>
  <si>
    <t>1.4.</t>
  </si>
  <si>
    <t>а/м УАЗ 31512</t>
  </si>
  <si>
    <t>Отчисления на соцнужды (30,2%)</t>
  </si>
  <si>
    <t>электромонтер по эксплуатации счетчиков 4 разряда</t>
  </si>
  <si>
    <t>Электромонтер ОВБ - 4 разряда</t>
  </si>
  <si>
    <t>инженер отдела коммерческого учета электроэнергии</t>
  </si>
  <si>
    <t>Электромонтер ОДС - 4 разряда</t>
  </si>
  <si>
    <t>Общехозяйственные расходы (от п. 1)</t>
  </si>
  <si>
    <t>Внереализационные расходы (от п. 1)</t>
  </si>
  <si>
    <t>Общехозяйственные расходы (от п. 6)</t>
  </si>
  <si>
    <t>Внереализационные расходы (от п. 6)</t>
  </si>
  <si>
    <t>Общехозяйственные расходы (от п. 4)</t>
  </si>
  <si>
    <t>Внереализационные расходы (от п. 4)</t>
  </si>
  <si>
    <t xml:space="preserve">Размер экономически обоснованной платы за технологическое присоединение (без мероприятий, связанных состроительством "последней мили") , руб./кВт, без НДС </t>
  </si>
  <si>
    <t xml:space="preserve">Размер платы за технологическое присоединение, установленный нормативно-правовыми актами РФ, руб./за 1 присоед., без НДС </t>
  </si>
  <si>
    <t>Выручка от осуществления  технологического присоединения, тыс.руб.,                                  без НДС</t>
  </si>
  <si>
    <t>Размер выпадающих доходов, тыс.руб.      без НДС</t>
  </si>
  <si>
    <t>до 15 кВт включительно (с учетом ранее присоединенной в данной точке присоединения мощности), при присоединении объектов, отнесенных к третьей категории надежности (по одному источнику электроснабжения), при условии, что расстояние от границ участка заявителя до объектов электросетевого хозяйства необходимого заявителю уровня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</t>
  </si>
  <si>
    <t>мастер ТП и КЛ</t>
  </si>
  <si>
    <t>Проведение осмотра энергопринимающих устройств с участием заявителя</t>
  </si>
  <si>
    <t xml:space="preserve">всего </t>
  </si>
  <si>
    <t>ФОТ всего</t>
  </si>
  <si>
    <t>Средняя месячная зарплата, руб./м-ц</t>
  </si>
  <si>
    <t xml:space="preserve">Всего </t>
  </si>
  <si>
    <t xml:space="preserve">прочие расходы </t>
  </si>
  <si>
    <t>итого</t>
  </si>
  <si>
    <t>Участие в осмотре должностным лицом Ростехнадзора присоединяемых устройств заявителя</t>
  </si>
  <si>
    <t>СС1 и С1 в ценах 2014 года, руб./кВт по тарифной заявке</t>
  </si>
  <si>
    <t xml:space="preserve">осуществляемых при  одном технологическом присоединении к электрическим сетям ОАО "Тейковское сетевое предприятие" в диапазоне мощности менее 670 кВт, в т.ч. до 15 кВт включительно по одному источнику при условии, что расстояние от границ участка заявителя до объектов электросетевого хозяйства составляет менее 300 м в городах и менее 500 м в сельской местности ("льготная" категория заявителей), на уровне напряжения менее 35 кВ </t>
  </si>
  <si>
    <r>
      <t xml:space="preserve">Калькуляция стоимости мероприятий,
осуществляемых при технологическом присоединении единицы мощности (1 кВт) 
к электрическим сетям ОАО "Тейковское сетевое предприятие" 
в диапазоне присоединяемой мощности до 15 кВт включительно  </t>
    </r>
    <r>
      <rPr>
        <b/>
        <sz val="10"/>
        <rFont val="Times New Roman"/>
        <family val="1"/>
      </rPr>
      <t>(льготная группа Заявителей)</t>
    </r>
    <r>
      <rPr>
        <sz val="10"/>
        <rFont val="Times New Roman"/>
        <family val="1"/>
      </rPr>
      <t xml:space="preserve">
 на уровне напряжения до 20 кВ и 3 категории надежности электроснабжения </t>
    </r>
  </si>
  <si>
    <t>Калькуляция стоимости мероприятий,
осуществляемых при технологическом присоединении единицы мощности (1 кВт) к электрическим сетям ОАО "Тейковское сетевое предприятие"
в диапазоне присоединяемой мощности до 150 кВт включительно (с учетом ранее присоединенной в данной точке присоединения мощности)
  и 3 категории надежности электроснабжения (по одному источнику электроснабжения энергопринимающих устройств) (за исключением "льготной" категории заявителей до 15 кВт),                                                             а также  в целях временного технологического присоединения</t>
  </si>
  <si>
    <t xml:space="preserve">Калькуляция стоимости мероприятий,
осуществляемых при технологическом присоединении единицы мощности (1 кВт) к электрическим сетям ОАО "Тейковское сетевое предприятие"
в диапазоне присоединяемой мощности до 150 кВт включительно  (за исключением "льготной" категории заявителей до 15 кВт, заявителей до 150 кВт включительно (с учетом ранее присоединенной в данной точке присоединения мощности)  и 3 категории надежности электроснабжения (по одному источнику электроснабжения энергопринимающих устройств) и заявителей в целях временного технологического присоединения)                                                                                                                                         
 </t>
  </si>
  <si>
    <t xml:space="preserve">Калькуляция стоимости мероприятий,
осуществляемых при технологическом присоединении единицы мощности (1 кВт) 
к электрическим сетям ОАО "Тейковское сетевое предприятие"
в диапазоне присоединяемой мощности свыше 150 кВт и менее 670 кВт (за исключением временного технологического присоединения) </t>
  </si>
  <si>
    <t xml:space="preserve">Данные, предлагаемые РСТ Ивановской области, для расчета тарифных ставок на покрытие текущих затрат, относимых на себестоимость, по технологическому присоединению к электрическим сетям                                                                             ОАО "Тейковское сетевое предприятие"на 2014 год                                                                                                                                                                  </t>
  </si>
  <si>
    <t>ОАО "Тейковское сетевое предприятие"</t>
  </si>
  <si>
    <t xml:space="preserve"> до 150 кВт включительно, за исключением присоединения  энергопринимающих устройств максимальной мощностью до 150 кВт включительно (с учетом ранее присоединенных в данной точке присоединения энергопринимающих устройств) в целях  технологического присоединения  по одному источнику электроснабжения, а также в целях временного технологического присоединения </t>
  </si>
  <si>
    <t xml:space="preserve">до 150 кВт включительно (с учетом ранее присоединенных в данной точке присоединения энергопринимающих устройств) в целях  технологического присоединения  по одному источнику электроснабжения, а также в целях временного технологического присоединения*   </t>
  </si>
  <si>
    <t xml:space="preserve">свыше 150 кВт и менее 670 кВт, за исключением временного технологического присоединения </t>
  </si>
  <si>
    <t>до 20 кВ</t>
  </si>
  <si>
    <t xml:space="preserve">Калькуляция стоимости мероприятий,
осуществляемых при технологическом присоединении единицы мощности (1 кВт) 
к электрическим сетям ОАО "Тейковское сетевое предприятие"
в диапазоне присоединяемой мощности 670 кВт и до 1500 кВт включительно (за исключением временного технологического присоединения) </t>
  </si>
  <si>
    <t xml:space="preserve">670 кВт и до 1500 кВт включительно, за исключением временного технологического присоединения </t>
  </si>
  <si>
    <t xml:space="preserve">                              Экономист                                     Кочнева А.В.</t>
  </si>
  <si>
    <t>Расчет стоимости 1 машино-часа использования автотранспорта, принримаемая для расчета платы за технологическое присоединение к электрическим сетям ОАО "Тейковское сетевое предприятие" на 2015 год</t>
  </si>
  <si>
    <t>Общехозяйственные расходы -8,64% от п.7</t>
  </si>
  <si>
    <t xml:space="preserve">                           Расчет процента общехозяйственных расходов за 9 мес.2014г.</t>
  </si>
  <si>
    <t>Виды деятельности</t>
  </si>
  <si>
    <t>Ориентировочно 9 мес.2014г.(с НДС)</t>
  </si>
  <si>
    <t>Ориентировочно 9 мес.2014г.(без НДС)</t>
  </si>
  <si>
    <t>% распред.общехоз.расходов</t>
  </si>
  <si>
    <t xml:space="preserve">Репределение  общехозяйственных расходов(26сч.) </t>
  </si>
  <si>
    <t xml:space="preserve">Репределение  внереализационных расходов(РКО) </t>
  </si>
  <si>
    <t>% общехоз.расходов</t>
  </si>
  <si>
    <t>% внереализац.расходов</t>
  </si>
  <si>
    <t>Аренда</t>
  </si>
  <si>
    <t>Водопровод</t>
  </si>
  <si>
    <t>Гостиница</t>
  </si>
  <si>
    <t>Канализация</t>
  </si>
  <si>
    <t>Обслуживание ВДС</t>
  </si>
  <si>
    <t>Передача э/энергии</t>
  </si>
  <si>
    <t>Прокладка водопроводов</t>
  </si>
  <si>
    <t>Прочее</t>
  </si>
  <si>
    <t>Ремонт колодцев</t>
  </si>
  <si>
    <t>Т/энергия и ГВС (котельная Грозилово)</t>
  </si>
  <si>
    <t>Технол. присоединение</t>
  </si>
  <si>
    <t>Техобслуживание  сетей</t>
  </si>
  <si>
    <t>Уличное освещение</t>
  </si>
  <si>
    <t>Услуги на сторону</t>
  </si>
  <si>
    <t xml:space="preserve">                              Экономист                                                  Кочнева А.В.   </t>
  </si>
  <si>
    <t>Расчет на 2015г</t>
  </si>
  <si>
    <t>необходимой валовой выручки сетевой организации на технологическое присоединение к электрическим сетям ОАО "Тейковское сетевое предприятие"</t>
  </si>
  <si>
    <t>Плановые показатели на 2015 год</t>
  </si>
  <si>
    <t>Планируемый объем максимальной мощности к присоединению на 2015 год, кВт</t>
  </si>
  <si>
    <t>Планируемое количество технологических присоединений в 2015 году, шт</t>
  </si>
  <si>
    <t>Расходы на технологическое присоединение в 2015 году, руб.(текущие затраты, относимые на себестоимость)</t>
  </si>
  <si>
    <t>СС1 и С1 в ценах 2015 года, руб./кВт по тарифной заявке</t>
  </si>
  <si>
    <t>Рост к 2014 г. %</t>
  </si>
  <si>
    <t>Расчет выпадающих доходов от технологического присоединения к электрическим сетям                                                                                                                по ОАО "Тейковское сетевое предприятие" "льготных" категорий Заявителей на 2015 год</t>
  </si>
  <si>
    <t>Экономически обоснованные расходы на технологическое присоединение в 2015 году, руб.(текущие затраты, относимые на себестоимость), тыс.руб. без НДС</t>
  </si>
  <si>
    <t xml:space="preserve">Фактические данные за 9 мес.2014 год </t>
  </si>
  <si>
    <t xml:space="preserve">Информация о технологическом присоединении </t>
  </si>
  <si>
    <t>энергопринимающих устройств потребителей к электрическим сетям __ОАО "Тейковское сетевое предприятие"</t>
  </si>
  <si>
    <t>по договорам технологического присоединения за 9 месяцев 2014 г.</t>
  </si>
  <si>
    <t>Диапазон напряжения до 10 кВ</t>
  </si>
  <si>
    <t>Количество заключенных договоров (шт.)</t>
  </si>
  <si>
    <t>Количество присоединений в отчетном году (шт.)</t>
  </si>
  <si>
    <t xml:space="preserve">Объем запрашиваемой максимальной мощности энергопринимающих устройств Заявителями
по договорам технологического присоединения
(кВт)
</t>
  </si>
  <si>
    <t xml:space="preserve">Объем 
максимальной мощности энергопринимающих устройств Заявителей в соответствии с актами об осуществлении технологического присоединения
(кВт)
</t>
  </si>
  <si>
    <t>1</t>
  </si>
  <si>
    <t>менее 150 кВт, в том числе:</t>
  </si>
  <si>
    <t>1.1</t>
  </si>
  <si>
    <t>до15 кВт с учетом особенностей ценообразования, определенных Основами ценообразования</t>
  </si>
  <si>
    <t>1.2</t>
  </si>
  <si>
    <t xml:space="preserve">менее 150 кВт, за исключением указанных 
в п. 1.1.
</t>
  </si>
  <si>
    <t>528</t>
  </si>
  <si>
    <t>2</t>
  </si>
  <si>
    <t>свыше 150 кВт</t>
  </si>
  <si>
    <t>-</t>
  </si>
  <si>
    <t>1600</t>
  </si>
  <si>
    <t>Примечание:  подключение ООО "Теплант-2" на 1600 кВт без оплаты в соответствии с постановлением правительства Ивановской области.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</si>
</sst>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0.000%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#,##0.00_ ;\-#,##0.00\ "/>
    <numFmt numFmtId="176" formatCode="_-* #,##0.0_р_._-;\-* #,##0.0_р_._-;_-* &quot;-&quot;_р_._-;_-@_-"/>
    <numFmt numFmtId="177" formatCode="_-* #,##0_р_._-;\-* #,##0_р_._-;_-* &quot;-&quot;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000000_р_._-;\-* #,##0.000000000_р_._-;_-* &quot;-&quot;??_р_._-;_-@_-"/>
    <numFmt numFmtId="192" formatCode="_-* #,##0.000_р_._-;\-* #,##0.000_р_._-;_-* &quot;-&quot;???_р_._-;_-@_-"/>
    <numFmt numFmtId="193" formatCode="#,##0.000"/>
    <numFmt numFmtId="194" formatCode="#,##0.00&quot;р.&quot;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%"/>
  </numFmts>
  <fonts count="7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Border="0">
      <alignment horizontal="right"/>
      <protection/>
    </xf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7" fillId="33" borderId="0" applyBorder="0">
      <alignment horizontal="right"/>
      <protection/>
    </xf>
    <xf numFmtId="0" fontId="63" fillId="3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8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/>
      <protection/>
    </xf>
    <xf numFmtId="0" fontId="1" fillId="0" borderId="7" xfId="55" applyFont="1" applyBorder="1" applyAlignment="1">
      <alignment horizontal="center" vertical="center" wrapText="1"/>
      <protection/>
    </xf>
    <xf numFmtId="0" fontId="8" fillId="35" borderId="0" xfId="55" applyFont="1" applyFill="1" applyAlignment="1">
      <alignment horizontal="center" vertical="center"/>
      <protection/>
    </xf>
    <xf numFmtId="0" fontId="1" fillId="0" borderId="7" xfId="55" applyFont="1" applyBorder="1" applyAlignment="1">
      <alignment horizontal="center" vertical="center" textRotation="90" wrapText="1"/>
      <protection/>
    </xf>
    <xf numFmtId="0" fontId="8" fillId="36" borderId="0" xfId="55" applyFont="1" applyFill="1" applyAlignment="1">
      <alignment horizontal="center" vertical="center"/>
      <protection/>
    </xf>
    <xf numFmtId="0" fontId="1" fillId="36" borderId="0" xfId="55" applyFont="1" applyFill="1" applyBorder="1" applyAlignment="1">
      <alignment horizontal="center" vertical="center"/>
      <protection/>
    </xf>
    <xf numFmtId="0" fontId="1" fillId="36" borderId="0" xfId="55" applyFont="1" applyFill="1" applyBorder="1" applyAlignment="1">
      <alignment horizontal="center" vertical="center" wrapText="1"/>
      <protection/>
    </xf>
    <xf numFmtId="43" fontId="8" fillId="0" borderId="0" xfId="55" applyNumberFormat="1" applyFont="1" applyAlignment="1">
      <alignment horizontal="center" vertical="center"/>
      <protection/>
    </xf>
    <xf numFmtId="43" fontId="8" fillId="0" borderId="0" xfId="55" applyNumberFormat="1" applyFont="1" applyFill="1" applyAlignment="1">
      <alignment horizontal="center" vertical="center"/>
      <protection/>
    </xf>
    <xf numFmtId="43" fontId="8" fillId="0" borderId="7" xfId="55" applyNumberFormat="1" applyFont="1" applyFill="1" applyBorder="1" applyAlignment="1">
      <alignment horizontal="center" vertical="center"/>
      <protection/>
    </xf>
    <xf numFmtId="0" fontId="8" fillId="0" borderId="7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2" fontId="8" fillId="0" borderId="0" xfId="55" applyNumberFormat="1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textRotation="90" wrapText="1"/>
      <protection/>
    </xf>
    <xf numFmtId="0" fontId="1" fillId="0" borderId="7" xfId="55" applyFont="1" applyFill="1" applyBorder="1" applyAlignment="1">
      <alignment horizontal="center" vertical="center" textRotation="90" wrapText="1"/>
      <protection/>
    </xf>
    <xf numFmtId="0" fontId="1" fillId="0" borderId="7" xfId="55" applyFont="1" applyFill="1" applyBorder="1" applyAlignment="1">
      <alignment horizontal="center" vertical="center" wrapText="1"/>
      <protection/>
    </xf>
    <xf numFmtId="1" fontId="12" fillId="0" borderId="7" xfId="55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5" xfId="55" applyFont="1" applyFill="1" applyBorder="1" applyAlignment="1">
      <alignment horizontal="left" vertical="center" wrapText="1"/>
      <protection/>
    </xf>
    <xf numFmtId="43" fontId="1" fillId="0" borderId="15" xfId="55" applyNumberFormat="1" applyFont="1" applyFill="1" applyBorder="1" applyAlignment="1">
      <alignment horizontal="right" vertical="center" wrapText="1"/>
      <protection/>
    </xf>
    <xf numFmtId="0" fontId="1" fillId="0" borderId="16" xfId="55" applyFont="1" applyFill="1" applyBorder="1" applyAlignment="1">
      <alignment horizontal="left" vertical="center" wrapText="1"/>
      <protection/>
    </xf>
    <xf numFmtId="0" fontId="1" fillId="0" borderId="15" xfId="55" applyFont="1" applyFill="1" applyBorder="1" applyAlignment="1">
      <alignment horizontal="right" vertical="center" wrapText="1"/>
      <protection/>
    </xf>
    <xf numFmtId="168" fontId="1" fillId="0" borderId="15" xfId="63" applyNumberFormat="1" applyFont="1" applyFill="1" applyBorder="1" applyAlignment="1">
      <alignment horizontal="left" vertical="center" wrapText="1"/>
    </xf>
    <xf numFmtId="173" fontId="1" fillId="0" borderId="15" xfId="55" applyNumberFormat="1" applyFont="1" applyFill="1" applyBorder="1" applyAlignment="1">
      <alignment horizontal="right" vertical="center" wrapText="1"/>
      <protection/>
    </xf>
    <xf numFmtId="0" fontId="1" fillId="0" borderId="17" xfId="55" applyFont="1" applyFill="1" applyBorder="1" applyAlignment="1">
      <alignment horizontal="left" vertical="center" wrapText="1"/>
      <protection/>
    </xf>
    <xf numFmtId="43" fontId="1" fillId="0" borderId="17" xfId="55" applyNumberFormat="1" applyFont="1" applyFill="1" applyBorder="1" applyAlignment="1">
      <alignment horizontal="right" vertical="center" wrapText="1"/>
      <protection/>
    </xf>
    <xf numFmtId="43" fontId="1" fillId="0" borderId="18" xfId="55" applyNumberFormat="1" applyFont="1" applyFill="1" applyBorder="1" applyAlignment="1">
      <alignment horizontal="right" vertical="center" wrapText="1"/>
      <protection/>
    </xf>
    <xf numFmtId="43" fontId="11" fillId="0" borderId="17" xfId="55" applyNumberFormat="1" applyFont="1" applyFill="1" applyBorder="1" applyAlignment="1">
      <alignment horizontal="right" vertical="center" wrapText="1"/>
      <protection/>
    </xf>
    <xf numFmtId="43" fontId="11" fillId="0" borderId="16" xfId="55" applyNumberFormat="1" applyFont="1" applyFill="1" applyBorder="1" applyAlignment="1">
      <alignment horizontal="right" vertical="center" wrapText="1"/>
      <protection/>
    </xf>
    <xf numFmtId="43" fontId="1" fillId="0" borderId="19" xfId="55" applyNumberFormat="1" applyFont="1" applyFill="1" applyBorder="1" applyAlignment="1">
      <alignment horizontal="right" vertical="center" wrapText="1"/>
      <protection/>
    </xf>
    <xf numFmtId="43" fontId="1" fillId="0" borderId="16" xfId="55" applyNumberFormat="1" applyFont="1" applyFill="1" applyBorder="1" applyAlignment="1">
      <alignment horizontal="right" vertical="center" wrapText="1"/>
      <protection/>
    </xf>
    <xf numFmtId="43" fontId="1" fillId="0" borderId="7" xfId="55" applyNumberFormat="1" applyFont="1" applyFill="1" applyBorder="1" applyAlignment="1">
      <alignment horizontal="right" vertical="center" wrapText="1"/>
      <protection/>
    </xf>
    <xf numFmtId="0" fontId="1" fillId="0" borderId="7" xfId="55" applyFont="1" applyFill="1" applyBorder="1" applyAlignment="1">
      <alignment horizontal="right" vertical="center" wrapText="1"/>
      <protection/>
    </xf>
    <xf numFmtId="168" fontId="1" fillId="0" borderId="7" xfId="63" applyNumberFormat="1" applyFont="1" applyFill="1" applyBorder="1" applyAlignment="1">
      <alignment horizontal="left" vertical="center" wrapText="1"/>
    </xf>
    <xf numFmtId="0" fontId="1" fillId="0" borderId="18" xfId="55" applyFont="1" applyFill="1" applyBorder="1" applyAlignment="1">
      <alignment horizontal="left" vertical="center" wrapText="1"/>
      <protection/>
    </xf>
    <xf numFmtId="43" fontId="11" fillId="0" borderId="18" xfId="55" applyNumberFormat="1" applyFont="1" applyFill="1" applyBorder="1" applyAlignment="1">
      <alignment horizontal="right" vertical="center" wrapText="1"/>
      <protection/>
    </xf>
    <xf numFmtId="0" fontId="1" fillId="0" borderId="7" xfId="55" applyFont="1" applyFill="1" applyBorder="1" applyAlignment="1">
      <alignment horizontal="left" vertical="center" wrapText="1"/>
      <protection/>
    </xf>
    <xf numFmtId="43" fontId="11" fillId="0" borderId="7" xfId="55" applyNumberFormat="1" applyFont="1" applyFill="1" applyBorder="1" applyAlignment="1">
      <alignment horizontal="right"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0" fontId="8" fillId="0" borderId="7" xfId="55" applyFont="1" applyFill="1" applyBorder="1" applyAlignment="1">
      <alignment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 vertical="center"/>
      <protection/>
    </xf>
    <xf numFmtId="0" fontId="11" fillId="0" borderId="7" xfId="55" applyFont="1" applyFill="1" applyBorder="1" applyAlignment="1">
      <alignment horizontal="left" vertical="center" wrapText="1"/>
      <protection/>
    </xf>
    <xf numFmtId="43" fontId="1" fillId="0" borderId="20" xfId="55" applyNumberFormat="1" applyFont="1" applyFill="1" applyBorder="1" applyAlignment="1">
      <alignment horizontal="righ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1" fillId="0" borderId="21" xfId="55" applyFont="1" applyFill="1" applyBorder="1" applyAlignment="1">
      <alignment horizontal="left" vertical="center" wrapText="1"/>
      <protection/>
    </xf>
    <xf numFmtId="43" fontId="11" fillId="0" borderId="21" xfId="55" applyNumberFormat="1" applyFont="1" applyFill="1" applyBorder="1" applyAlignment="1">
      <alignment horizontal="right" vertical="center" wrapText="1"/>
      <protection/>
    </xf>
    <xf numFmtId="43" fontId="1" fillId="0" borderId="22" xfId="55" applyNumberFormat="1" applyFont="1" applyFill="1" applyBorder="1" applyAlignment="1">
      <alignment horizontal="right" vertical="center" wrapText="1"/>
      <protection/>
    </xf>
    <xf numFmtId="0" fontId="11" fillId="0" borderId="23" xfId="55" applyFont="1" applyFill="1" applyBorder="1" applyAlignment="1">
      <alignment horizontal="left" vertical="center" wrapText="1"/>
      <protection/>
    </xf>
    <xf numFmtId="43" fontId="11" fillId="0" borderId="23" xfId="55" applyNumberFormat="1" applyFont="1" applyFill="1" applyBorder="1" applyAlignment="1">
      <alignment horizontal="right" vertical="center" wrapText="1"/>
      <protection/>
    </xf>
    <xf numFmtId="0" fontId="1" fillId="0" borderId="19" xfId="55" applyFont="1" applyFill="1" applyBorder="1" applyAlignment="1">
      <alignment horizontal="right" vertical="center" wrapText="1"/>
      <protection/>
    </xf>
    <xf numFmtId="173" fontId="1" fillId="0" borderId="19" xfId="55" applyNumberFormat="1" applyFont="1" applyFill="1" applyBorder="1" applyAlignment="1">
      <alignment horizontal="right" vertical="center" wrapText="1"/>
      <protection/>
    </xf>
    <xf numFmtId="43" fontId="11" fillId="0" borderId="22" xfId="55" applyNumberFormat="1" applyFont="1" applyFill="1" applyBorder="1" applyAlignment="1">
      <alignment horizontal="right" vertical="center" wrapText="1"/>
      <protection/>
    </xf>
    <xf numFmtId="43" fontId="1" fillId="0" borderId="7" xfId="55" applyNumberFormat="1" applyFont="1" applyFill="1" applyBorder="1" applyAlignment="1">
      <alignment vertical="center" wrapText="1"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6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6" fillId="0" borderId="0" xfId="58" applyNumberFormat="1" applyFont="1">
      <alignment/>
      <protection/>
    </xf>
    <xf numFmtId="43" fontId="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58" applyFont="1">
      <alignment/>
      <protection/>
    </xf>
    <xf numFmtId="4" fontId="14" fillId="0" borderId="0" xfId="58" applyNumberFormat="1" applyFont="1" applyFill="1">
      <alignment/>
      <protection/>
    </xf>
    <xf numFmtId="0" fontId="17" fillId="0" borderId="0" xfId="0" applyFont="1" applyAlignment="1">
      <alignment/>
    </xf>
    <xf numFmtId="0" fontId="18" fillId="0" borderId="0" xfId="58" applyFont="1" applyBorder="1" applyAlignment="1">
      <alignment vertical="top" wrapText="1"/>
      <protection/>
    </xf>
    <xf numFmtId="0" fontId="19" fillId="0" borderId="0" xfId="0" applyFont="1" applyFill="1" applyAlignment="1">
      <alignment vertical="center"/>
    </xf>
    <xf numFmtId="4" fontId="0" fillId="0" borderId="0" xfId="58" applyNumberFormat="1" applyFont="1" applyFill="1">
      <alignment/>
      <protection/>
    </xf>
    <xf numFmtId="0" fontId="1" fillId="0" borderId="0" xfId="58" applyFont="1">
      <alignment/>
      <protection/>
    </xf>
    <xf numFmtId="4" fontId="1" fillId="0" borderId="0" xfId="58" applyNumberFormat="1" applyFont="1" applyFill="1" applyAlignment="1">
      <alignment horizontal="right"/>
      <protection/>
    </xf>
    <xf numFmtId="0" fontId="1" fillId="0" borderId="7" xfId="0" applyFont="1" applyBorder="1" applyAlignment="1">
      <alignment horizontal="center"/>
    </xf>
    <xf numFmtId="16" fontId="1" fillId="0" borderId="7" xfId="58" applyNumberFormat="1" applyFont="1" applyBorder="1" applyAlignment="1">
      <alignment horizontal="center" vertical="center" wrapText="1"/>
      <protection/>
    </xf>
    <xf numFmtId="0" fontId="1" fillId="0" borderId="7" xfId="58" applyFont="1" applyBorder="1" applyAlignment="1">
      <alignment horizontal="left" vertical="center" wrapText="1" indent="2"/>
      <protection/>
    </xf>
    <xf numFmtId="4" fontId="20" fillId="0" borderId="0" xfId="58" applyNumberFormat="1" applyFont="1">
      <alignment/>
      <protection/>
    </xf>
    <xf numFmtId="43" fontId="1" fillId="0" borderId="0" xfId="0" applyNumberFormat="1" applyFont="1" applyAlignment="1">
      <alignment/>
    </xf>
    <xf numFmtId="0" fontId="1" fillId="0" borderId="7" xfId="58" applyFont="1" applyFill="1" applyBorder="1" applyAlignment="1">
      <alignment horizontal="left" vertical="center" wrapText="1" indent="2"/>
      <protection/>
    </xf>
    <xf numFmtId="0" fontId="1" fillId="0" borderId="7" xfId="58" applyFont="1" applyBorder="1" applyAlignment="1">
      <alignment horizontal="center" vertical="center" wrapText="1"/>
      <protection/>
    </xf>
    <xf numFmtId="0" fontId="1" fillId="0" borderId="7" xfId="58" applyFont="1" applyFill="1" applyBorder="1" applyAlignment="1">
      <alignment horizontal="center" vertical="center" textRotation="90" wrapText="1"/>
      <protection/>
    </xf>
    <xf numFmtId="0" fontId="1" fillId="0" borderId="24" xfId="58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3" fontId="1" fillId="0" borderId="7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1" fillId="0" borderId="7" xfId="58" applyFont="1" applyBorder="1" applyAlignment="1">
      <alignment horizontal="center" vertical="center" wrapText="1"/>
      <protection/>
    </xf>
    <xf numFmtId="0" fontId="11" fillId="0" borderId="7" xfId="58" applyFont="1" applyBorder="1" applyAlignment="1">
      <alignment horizontal="justify" vertical="center" wrapText="1"/>
      <protection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7" xfId="58" applyFont="1" applyBorder="1" applyAlignment="1">
      <alignment horizontal="justify" vertical="center" wrapText="1"/>
      <protection/>
    </xf>
    <xf numFmtId="4" fontId="1" fillId="0" borderId="25" xfId="58" applyNumberFormat="1" applyFont="1" applyBorder="1" applyAlignment="1">
      <alignment horizontal="center" vertical="center" wrapText="1"/>
      <protection/>
    </xf>
    <xf numFmtId="193" fontId="1" fillId="0" borderId="0" xfId="0" applyNumberFormat="1" applyFont="1" applyAlignment="1">
      <alignment/>
    </xf>
    <xf numFmtId="43" fontId="1" fillId="0" borderId="7" xfId="66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0" fillId="0" borderId="0" xfId="58" applyNumberFormat="1" applyFont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0" fillId="0" borderId="0" xfId="0" applyBorder="1" applyAlignment="1">
      <alignment/>
    </xf>
    <xf numFmtId="0" fontId="66" fillId="0" borderId="26" xfId="0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vertical="top" wrapText="1"/>
    </xf>
    <xf numFmtId="0" fontId="67" fillId="0" borderId="28" xfId="0" applyFont="1" applyBorder="1" applyAlignment="1">
      <alignment vertical="top" wrapText="1"/>
    </xf>
    <xf numFmtId="0" fontId="67" fillId="0" borderId="27" xfId="0" applyFont="1" applyBorder="1" applyAlignment="1">
      <alignment horizontal="center" vertical="center" wrapText="1"/>
    </xf>
    <xf numFmtId="4" fontId="67" fillId="0" borderId="28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" fontId="67" fillId="0" borderId="0" xfId="0" applyNumberFormat="1" applyFont="1" applyFill="1" applyBorder="1" applyAlignment="1">
      <alignment horizontal="center" vertical="center" wrapText="1"/>
    </xf>
    <xf numFmtId="0" fontId="67" fillId="37" borderId="27" xfId="0" applyFont="1" applyFill="1" applyBorder="1" applyAlignment="1">
      <alignment horizontal="center" vertical="center" wrapText="1"/>
    </xf>
    <xf numFmtId="0" fontId="67" fillId="37" borderId="28" xfId="0" applyFont="1" applyFill="1" applyBorder="1" applyAlignment="1">
      <alignment vertical="top" wrapText="1"/>
    </xf>
    <xf numFmtId="4" fontId="67" fillId="37" borderId="28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43" fontId="0" fillId="0" borderId="0" xfId="58" applyNumberFormat="1" applyFont="1">
      <alignment/>
      <protection/>
    </xf>
    <xf numFmtId="2" fontId="0" fillId="0" borderId="0" xfId="0" applyNumberFormat="1" applyAlignment="1">
      <alignment/>
    </xf>
    <xf numFmtId="43" fontId="12" fillId="0" borderId="7" xfId="55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94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wrapText="1"/>
    </xf>
    <xf numFmtId="195" fontId="11" fillId="38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" fillId="36" borderId="26" xfId="0" applyFont="1" applyFill="1" applyBorder="1" applyAlignment="1">
      <alignment horizontal="left" vertical="center" wrapText="1"/>
    </xf>
    <xf numFmtId="195" fontId="1" fillId="38" borderId="26" xfId="0" applyNumberFormat="1" applyFont="1" applyFill="1" applyBorder="1" applyAlignment="1">
      <alignment vertical="center" wrapText="1"/>
    </xf>
    <xf numFmtId="0" fontId="1" fillId="36" borderId="0" xfId="0" applyFont="1" applyFill="1" applyBorder="1" applyAlignment="1">
      <alignment horizontal="left" vertical="center" wrapText="1"/>
    </xf>
    <xf numFmtId="195" fontId="1" fillId="0" borderId="0" xfId="0" applyNumberFormat="1" applyFont="1" applyFill="1" applyAlignment="1">
      <alignment/>
    </xf>
    <xf numFmtId="4" fontId="1" fillId="38" borderId="26" xfId="0" applyNumberFormat="1" applyFont="1" applyFill="1" applyBorder="1" applyAlignment="1">
      <alignment vertical="center" wrapText="1"/>
    </xf>
    <xf numFmtId="169" fontId="1" fillId="0" borderId="26" xfId="0" applyNumberFormat="1" applyFont="1" applyFill="1" applyBorder="1" applyAlignment="1">
      <alignment vertical="center"/>
    </xf>
    <xf numFmtId="43" fontId="11" fillId="0" borderId="7" xfId="66" applyNumberFormat="1" applyFont="1" applyFill="1" applyBorder="1" applyAlignment="1">
      <alignment horizontal="center" vertical="center" wrapText="1"/>
    </xf>
    <xf numFmtId="43" fontId="1" fillId="0" borderId="7" xfId="66" applyNumberFormat="1" applyFont="1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horizontal="left" vertical="center" wrapText="1"/>
      <protection/>
    </xf>
    <xf numFmtId="43" fontId="1" fillId="0" borderId="13" xfId="55" applyNumberFormat="1" applyFont="1" applyFill="1" applyBorder="1" applyAlignment="1">
      <alignment horizontal="right" vertical="center" wrapText="1"/>
      <protection/>
    </xf>
    <xf numFmtId="43" fontId="12" fillId="0" borderId="0" xfId="55" applyNumberFormat="1" applyFont="1" applyFill="1" applyAlignment="1">
      <alignment horizontal="center" vertical="center"/>
      <protection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58" applyFont="1" applyAlignment="1">
      <alignment horizontal="right"/>
      <protection/>
    </xf>
    <xf numFmtId="43" fontId="1" fillId="0" borderId="0" xfId="58" applyNumberFormat="1" applyFont="1">
      <alignment/>
      <protection/>
    </xf>
    <xf numFmtId="0" fontId="1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1" fillId="0" borderId="20" xfId="55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43" fontId="1" fillId="0" borderId="13" xfId="55" applyNumberFormat="1" applyFont="1" applyFill="1" applyBorder="1" applyAlignment="1">
      <alignment vertical="center" wrapText="1"/>
      <protection/>
    </xf>
    <xf numFmtId="170" fontId="1" fillId="0" borderId="15" xfId="63" applyNumberFormat="1" applyFont="1" applyFill="1" applyBorder="1" applyAlignment="1">
      <alignment horizontal="left" vertical="center" wrapText="1"/>
    </xf>
    <xf numFmtId="200" fontId="1" fillId="0" borderId="15" xfId="63" applyNumberFormat="1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vertical="center" wrapText="1"/>
    </xf>
    <xf numFmtId="172" fontId="0" fillId="0" borderId="0" xfId="58" applyNumberFormat="1" applyFont="1">
      <alignment/>
      <protection/>
    </xf>
    <xf numFmtId="172" fontId="1" fillId="0" borderId="0" xfId="58" applyNumberFormat="1" applyFont="1">
      <alignment/>
      <protection/>
    </xf>
    <xf numFmtId="2" fontId="1" fillId="0" borderId="26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8" fontId="1" fillId="0" borderId="14" xfId="63" applyNumberFormat="1" applyFont="1" applyFill="1" applyBorder="1" applyAlignment="1">
      <alignment horizontal="left" vertical="center" wrapText="1"/>
    </xf>
    <xf numFmtId="43" fontId="12" fillId="0" borderId="14" xfId="55" applyNumberFormat="1" applyFont="1" applyFill="1" applyBorder="1" applyAlignment="1">
      <alignment horizontal="center" vertical="center"/>
      <protection/>
    </xf>
    <xf numFmtId="0" fontId="11" fillId="0" borderId="7" xfId="58" applyFont="1" applyBorder="1" applyAlignment="1">
      <alignment vertical="center" wrapText="1"/>
      <protection/>
    </xf>
    <xf numFmtId="173" fontId="1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43" fontId="1" fillId="0" borderId="21" xfId="55" applyNumberFormat="1" applyFont="1" applyFill="1" applyBorder="1" applyAlignment="1">
      <alignment horizontal="right" vertical="center" wrapText="1"/>
      <protection/>
    </xf>
    <xf numFmtId="0" fontId="11" fillId="0" borderId="20" xfId="55" applyFont="1" applyFill="1" applyBorder="1" applyAlignment="1">
      <alignment horizontal="left" vertical="center" wrapText="1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1" fillId="0" borderId="32" xfId="55" applyFont="1" applyFill="1" applyBorder="1" applyAlignment="1">
      <alignment horizontal="left" vertical="center" wrapText="1"/>
      <protection/>
    </xf>
    <xf numFmtId="172" fontId="1" fillId="0" borderId="22" xfId="55" applyNumberFormat="1" applyFont="1" applyFill="1" applyBorder="1" applyAlignment="1">
      <alignment horizontal="right" vertical="center" wrapText="1" indent="1"/>
      <protection/>
    </xf>
    <xf numFmtId="43" fontId="1" fillId="0" borderId="32" xfId="55" applyNumberFormat="1" applyFont="1" applyFill="1" applyBorder="1" applyAlignment="1">
      <alignment horizontal="right" vertical="center" wrapText="1"/>
      <protection/>
    </xf>
    <xf numFmtId="43" fontId="14" fillId="0" borderId="0" xfId="0" applyNumberFormat="1" applyFont="1" applyAlignment="1">
      <alignment/>
    </xf>
    <xf numFmtId="169" fontId="11" fillId="0" borderId="26" xfId="0" applyNumberFormat="1" applyFont="1" applyFill="1" applyBorder="1" applyAlignment="1">
      <alignment vertical="center"/>
    </xf>
    <xf numFmtId="192" fontId="1" fillId="0" borderId="15" xfId="55" applyNumberFormat="1" applyFont="1" applyFill="1" applyBorder="1" applyAlignment="1">
      <alignment horizontal="right" vertical="center" wrapText="1"/>
      <protection/>
    </xf>
    <xf numFmtId="2" fontId="11" fillId="0" borderId="26" xfId="0" applyNumberFormat="1" applyFont="1" applyFill="1" applyBorder="1" applyAlignment="1">
      <alignment vertical="center" wrapText="1"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center" wrapText="1"/>
    </xf>
    <xf numFmtId="0" fontId="23" fillId="0" borderId="7" xfId="57" applyNumberFormat="1" applyFont="1" applyBorder="1" applyAlignment="1">
      <alignment horizontal="left" vertical="top" wrapText="1" indent="2"/>
      <protection/>
    </xf>
    <xf numFmtId="4" fontId="23" fillId="0" borderId="7" xfId="57" applyNumberFormat="1" applyFont="1" applyBorder="1" applyAlignment="1">
      <alignment horizontal="right" vertical="top" wrapText="1"/>
      <protection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23" fillId="37" borderId="7" xfId="57" applyNumberFormat="1" applyFont="1" applyFill="1" applyBorder="1" applyAlignment="1">
      <alignment horizontal="left" vertical="top" wrapText="1" indent="2"/>
      <protection/>
    </xf>
    <xf numFmtId="4" fontId="23" fillId="37" borderId="7" xfId="57" applyNumberFormat="1" applyFont="1" applyFill="1" applyBorder="1" applyAlignment="1">
      <alignment horizontal="right" vertical="top" wrapText="1"/>
      <protection/>
    </xf>
    <xf numFmtId="4" fontId="0" fillId="37" borderId="7" xfId="0" applyNumberFormat="1" applyFont="1" applyFill="1" applyBorder="1" applyAlignment="1">
      <alignment/>
    </xf>
    <xf numFmtId="2" fontId="0" fillId="37" borderId="7" xfId="0" applyNumberFormat="1" applyFont="1" applyFill="1" applyBorder="1" applyAlignment="1">
      <alignment/>
    </xf>
    <xf numFmtId="0" fontId="68" fillId="36" borderId="7" xfId="57" applyNumberFormat="1" applyFont="1" applyFill="1" applyBorder="1" applyAlignment="1">
      <alignment horizontal="left" vertical="top"/>
      <protection/>
    </xf>
    <xf numFmtId="4" fontId="68" fillId="36" borderId="7" xfId="57" applyNumberFormat="1" applyFont="1" applyFill="1" applyBorder="1" applyAlignment="1">
      <alignment horizontal="right" vertical="top" wrapText="1"/>
      <protection/>
    </xf>
    <xf numFmtId="0" fontId="68" fillId="36" borderId="7" xfId="0" applyFont="1" applyFill="1" applyBorder="1" applyAlignment="1">
      <alignment/>
    </xf>
    <xf numFmtId="170" fontId="13" fillId="37" borderId="7" xfId="0" applyNumberFormat="1" applyFont="1" applyFill="1" applyBorder="1" applyAlignment="1">
      <alignment/>
    </xf>
    <xf numFmtId="170" fontId="1" fillId="0" borderId="7" xfId="63" applyNumberFormat="1" applyFont="1" applyFill="1" applyBorder="1" applyAlignment="1">
      <alignment horizontal="left" vertical="center" wrapText="1"/>
    </xf>
    <xf numFmtId="0" fontId="11" fillId="0" borderId="32" xfId="55" applyFont="1" applyFill="1" applyBorder="1" applyAlignment="1">
      <alignment horizontal="left" vertical="center" wrapText="1"/>
      <protection/>
    </xf>
    <xf numFmtId="200" fontId="1" fillId="0" borderId="7" xfId="63" applyNumberFormat="1" applyFont="1" applyFill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49" fontId="64" fillId="0" borderId="7" xfId="0" applyNumberFormat="1" applyFont="1" applyBorder="1" applyAlignment="1">
      <alignment horizontal="center" vertical="center" wrapText="1"/>
    </xf>
    <xf numFmtId="49" fontId="64" fillId="0" borderId="7" xfId="0" applyNumberFormat="1" applyFont="1" applyBorder="1" applyAlignment="1">
      <alignment wrapText="1"/>
    </xf>
    <xf numFmtId="49" fontId="69" fillId="0" borderId="7" xfId="0" applyNumberFormat="1" applyFont="1" applyBorder="1" applyAlignment="1">
      <alignment wrapText="1"/>
    </xf>
    <xf numFmtId="49" fontId="69" fillId="0" borderId="7" xfId="0" applyNumberFormat="1" applyFont="1" applyBorder="1" applyAlignment="1">
      <alignment horizontal="center" vertical="center" wrapText="1"/>
    </xf>
    <xf numFmtId="3" fontId="64" fillId="0" borderId="7" xfId="0" applyNumberFormat="1" applyFont="1" applyBorder="1" applyAlignment="1">
      <alignment horizontal="center" vertical="center" wrapText="1"/>
    </xf>
    <xf numFmtId="3" fontId="69" fillId="0" borderId="7" xfId="0" applyNumberFormat="1" applyFont="1" applyBorder="1" applyAlignment="1">
      <alignment horizontal="center" vertical="center" wrapText="1"/>
    </xf>
    <xf numFmtId="16" fontId="1" fillId="0" borderId="0" xfId="58" applyNumberFormat="1" applyFont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left" vertical="center" wrapText="1" indent="2"/>
      <protection/>
    </xf>
    <xf numFmtId="43" fontId="1" fillId="0" borderId="0" xfId="66" applyNumberFormat="1" applyFont="1" applyFill="1" applyBorder="1" applyAlignment="1">
      <alignment horizontal="center" vertical="center" wrapText="1"/>
    </xf>
    <xf numFmtId="43" fontId="1" fillId="0" borderId="0" xfId="66" applyNumberFormat="1" applyFont="1" applyFill="1" applyBorder="1" applyAlignment="1">
      <alignment/>
    </xf>
    <xf numFmtId="2" fontId="11" fillId="0" borderId="7" xfId="0" applyNumberFormat="1" applyFont="1" applyBorder="1" applyAlignment="1" applyProtection="1">
      <alignment/>
      <protection hidden="1"/>
    </xf>
    <xf numFmtId="0" fontId="1" fillId="0" borderId="13" xfId="55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8" fillId="0" borderId="7" xfId="55" applyFont="1" applyFill="1" applyBorder="1" applyAlignment="1">
      <alignment horizontal="right" vertical="center"/>
      <protection/>
    </xf>
    <xf numFmtId="0" fontId="12" fillId="0" borderId="7" xfId="55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33" xfId="55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7" xfId="55" applyFont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2" fillId="36" borderId="0" xfId="55" applyFont="1" applyFill="1" applyBorder="1" applyAlignment="1">
      <alignment horizontal="right" vertical="center" wrapText="1" inden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9" fillId="0" borderId="34" xfId="55" applyFont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9" fillId="0" borderId="7" xfId="5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6" xfId="55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16" fontId="1" fillId="0" borderId="35" xfId="55" applyNumberFormat="1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1" fillId="0" borderId="12" xfId="58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4" fontId="67" fillId="0" borderId="37" xfId="0" applyNumberFormat="1" applyFont="1" applyBorder="1" applyAlignment="1">
      <alignment horizontal="center" vertical="center" wrapText="1"/>
    </xf>
    <xf numFmtId="4" fontId="67" fillId="0" borderId="38" xfId="0" applyNumberFormat="1" applyFont="1" applyBorder="1" applyAlignment="1">
      <alignment horizontal="center" vertical="center" wrapText="1"/>
    </xf>
    <xf numFmtId="4" fontId="67" fillId="0" borderId="30" xfId="0" applyNumberFormat="1" applyFont="1" applyBorder="1" applyAlignment="1">
      <alignment horizontal="center" vertical="center" wrapText="1"/>
    </xf>
    <xf numFmtId="4" fontId="67" fillId="0" borderId="27" xfId="0" applyNumberFormat="1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4" fontId="67" fillId="0" borderId="39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расчет общехоз" xfId="57"/>
    <cellStyle name="Обычный_Расчет по новым МУ ПС Ив1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_GRES.2007.5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">
      <pane xSplit="3" ySplit="8" topLeftCell="D5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61" sqref="B61:E61"/>
    </sheetView>
  </sheetViews>
  <sheetFormatPr defaultColWidth="9.140625" defaultRowHeight="12.75"/>
  <cols>
    <col min="1" max="1" width="6.8515625" style="1" customWidth="1"/>
    <col min="2" max="2" width="35.8515625" style="2" customWidth="1"/>
    <col min="3" max="3" width="16.140625" style="1" customWidth="1"/>
    <col min="4" max="4" width="7.28125" style="5" customWidth="1"/>
    <col min="5" max="5" width="12.00390625" style="5" customWidth="1"/>
    <col min="6" max="6" width="11.8515625" style="5" hidden="1" customWidth="1"/>
    <col min="7" max="7" width="11.28125" style="5" customWidth="1"/>
    <col min="8" max="8" width="7.57421875" style="1" customWidth="1"/>
    <col min="9" max="9" width="10.8515625" style="5" customWidth="1"/>
    <col min="10" max="10" width="9.28125" style="5" customWidth="1"/>
    <col min="11" max="11" width="10.7109375" style="5" customWidth="1"/>
    <col min="12" max="12" width="7.00390625" style="1" customWidth="1"/>
    <col min="13" max="13" width="6.28125" style="1" customWidth="1"/>
    <col min="14" max="14" width="7.421875" style="1" customWidth="1"/>
    <col min="15" max="15" width="8.00390625" style="1" customWidth="1"/>
    <col min="16" max="16" width="10.8515625" style="5" customWidth="1"/>
    <col min="17" max="17" width="14.00390625" style="1" customWidth="1"/>
    <col min="18" max="18" width="13.28125" style="1" customWidth="1"/>
    <col min="19" max="16384" width="9.140625" style="1" customWidth="1"/>
  </cols>
  <sheetData>
    <row r="1" spans="1:16" s="7" customFormat="1" ht="15" customHeigh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250"/>
      <c r="M1" s="250"/>
      <c r="N1" s="250"/>
      <c r="O1" s="250"/>
      <c r="P1" s="8"/>
    </row>
    <row r="2" spans="1:16" ht="21" customHeight="1">
      <c r="A2" s="251" t="s">
        <v>174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75.75" customHeight="1">
      <c r="A3" s="251" t="s">
        <v>227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8"/>
    </row>
    <row r="5" spans="1:16" ht="19.5" customHeight="1">
      <c r="A5" s="254" t="s">
        <v>8</v>
      </c>
      <c r="B5" s="254" t="s">
        <v>5</v>
      </c>
      <c r="C5" s="257" t="s">
        <v>18</v>
      </c>
      <c r="D5" s="258"/>
      <c r="E5" s="258"/>
      <c r="F5" s="258"/>
      <c r="G5" s="259"/>
      <c r="H5" s="257" t="s">
        <v>19</v>
      </c>
      <c r="I5" s="258"/>
      <c r="J5" s="258"/>
      <c r="K5" s="259"/>
      <c r="L5" s="260" t="s">
        <v>4</v>
      </c>
      <c r="M5" s="260"/>
      <c r="N5" s="260"/>
      <c r="O5" s="260"/>
      <c r="P5" s="263" t="s">
        <v>169</v>
      </c>
    </row>
    <row r="6" spans="1:16" s="2" customFormat="1" ht="26.25" customHeight="1">
      <c r="A6" s="255"/>
      <c r="B6" s="255"/>
      <c r="C6" s="244" t="s">
        <v>267</v>
      </c>
      <c r="D6" s="245"/>
      <c r="E6" s="245"/>
      <c r="F6" s="245"/>
      <c r="G6" s="246"/>
      <c r="H6" s="244" t="s">
        <v>267</v>
      </c>
      <c r="I6" s="245"/>
      <c r="J6" s="245"/>
      <c r="K6" s="246"/>
      <c r="L6" s="247" t="s">
        <v>267</v>
      </c>
      <c r="M6" s="247"/>
      <c r="N6" s="247"/>
      <c r="O6" s="247"/>
      <c r="P6" s="264"/>
    </row>
    <row r="7" spans="1:16" s="2" customFormat="1" ht="106.5" customHeight="1">
      <c r="A7" s="256"/>
      <c r="B7" s="256"/>
      <c r="C7" s="17" t="s">
        <v>20</v>
      </c>
      <c r="D7" s="18" t="s">
        <v>21</v>
      </c>
      <c r="E7" s="18" t="s">
        <v>22</v>
      </c>
      <c r="F7" s="18" t="s">
        <v>36</v>
      </c>
      <c r="G7" s="18" t="s">
        <v>23</v>
      </c>
      <c r="H7" s="18" t="s">
        <v>24</v>
      </c>
      <c r="I7" s="18" t="s">
        <v>25</v>
      </c>
      <c r="J7" s="18" t="s">
        <v>26</v>
      </c>
      <c r="K7" s="18" t="s">
        <v>27</v>
      </c>
      <c r="L7" s="6" t="s">
        <v>28</v>
      </c>
      <c r="M7" s="6" t="s">
        <v>29</v>
      </c>
      <c r="N7" s="6" t="s">
        <v>30</v>
      </c>
      <c r="O7" s="6" t="s">
        <v>31</v>
      </c>
      <c r="P7" s="265"/>
    </row>
    <row r="8" spans="1:16" ht="12.75">
      <c r="A8" s="4">
        <v>1</v>
      </c>
      <c r="B8" s="4">
        <v>2</v>
      </c>
      <c r="C8" s="4">
        <v>3</v>
      </c>
      <c r="D8" s="19">
        <v>4</v>
      </c>
      <c r="E8" s="19">
        <v>5</v>
      </c>
      <c r="F8" s="19"/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4">
        <v>11</v>
      </c>
      <c r="M8" s="4">
        <v>12</v>
      </c>
      <c r="N8" s="4">
        <v>13</v>
      </c>
      <c r="O8" s="4">
        <v>14</v>
      </c>
      <c r="P8" s="19">
        <v>15</v>
      </c>
    </row>
    <row r="9" spans="1:16" s="3" customFormat="1" ht="39" customHeight="1">
      <c r="A9" s="44" t="s">
        <v>0</v>
      </c>
      <c r="B9" s="51" t="s">
        <v>44</v>
      </c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s="3" customFormat="1" ht="30" customHeight="1">
      <c r="A10" s="44" t="s">
        <v>9</v>
      </c>
      <c r="B10" s="25" t="s">
        <v>197</v>
      </c>
      <c r="C10" s="149" t="s">
        <v>198</v>
      </c>
      <c r="D10" s="150">
        <v>1</v>
      </c>
      <c r="E10" s="150">
        <f>36179.6/164.25</f>
        <v>220.27153729071537</v>
      </c>
      <c r="F10" s="150"/>
      <c r="G10" s="39">
        <f aca="true" t="shared" si="0" ref="G10:G15">D10*E10</f>
        <v>220.27153729071537</v>
      </c>
      <c r="H10" s="150"/>
      <c r="I10" s="150"/>
      <c r="J10" s="150"/>
      <c r="K10" s="150"/>
      <c r="L10" s="150"/>
      <c r="M10" s="150"/>
      <c r="N10" s="150"/>
      <c r="O10" s="150"/>
      <c r="P10" s="39">
        <f aca="true" t="shared" si="1" ref="P10:P15">G10+K10+O10</f>
        <v>220.27153729071537</v>
      </c>
    </row>
    <row r="11" spans="1:16" s="3" customFormat="1" ht="25.5">
      <c r="A11" s="44" t="s">
        <v>15</v>
      </c>
      <c r="B11" s="25" t="s">
        <v>175</v>
      </c>
      <c r="C11" s="25" t="s">
        <v>178</v>
      </c>
      <c r="D11" s="39">
        <v>2</v>
      </c>
      <c r="E11" s="39">
        <f>21381.6/164.25</f>
        <v>130.17716894977167</v>
      </c>
      <c r="F11" s="39">
        <f>E11*8*20.6</f>
        <v>21453.197442922374</v>
      </c>
      <c r="G11" s="39">
        <f>D11*E11</f>
        <v>260.35433789954334</v>
      </c>
      <c r="H11" s="64"/>
      <c r="I11" s="39"/>
      <c r="J11" s="39"/>
      <c r="K11" s="39"/>
      <c r="L11" s="39"/>
      <c r="M11" s="39"/>
      <c r="N11" s="39"/>
      <c r="O11" s="39"/>
      <c r="P11" s="39">
        <f t="shared" si="1"/>
        <v>260.35433789954334</v>
      </c>
    </row>
    <row r="12" spans="1:16" s="3" customFormat="1" ht="37.5" customHeight="1">
      <c r="A12" s="248" t="s">
        <v>16</v>
      </c>
      <c r="B12" s="240" t="s">
        <v>176</v>
      </c>
      <c r="C12" s="25" t="s">
        <v>203</v>
      </c>
      <c r="D12" s="39">
        <v>1</v>
      </c>
      <c r="E12" s="39">
        <f>82874.7/164.25/5</f>
        <v>100.91287671232877</v>
      </c>
      <c r="F12" s="39">
        <f>E12*8*20.6</f>
        <v>16630.44208219178</v>
      </c>
      <c r="G12" s="39">
        <f t="shared" si="0"/>
        <v>100.91287671232877</v>
      </c>
      <c r="H12" s="64" t="s">
        <v>200</v>
      </c>
      <c r="I12" s="39">
        <v>1</v>
      </c>
      <c r="J12" s="39">
        <f>Автотранспорт!C11</f>
        <v>515.7845862331998</v>
      </c>
      <c r="K12" s="39">
        <f>I12*J12</f>
        <v>515.7845862331998</v>
      </c>
      <c r="L12" s="39"/>
      <c r="M12" s="39"/>
      <c r="N12" s="39"/>
      <c r="O12" s="39"/>
      <c r="P12" s="39">
        <f t="shared" si="1"/>
        <v>616.6974629455285</v>
      </c>
    </row>
    <row r="13" spans="1:16" s="3" customFormat="1" ht="32.25" customHeight="1">
      <c r="A13" s="236"/>
      <c r="B13" s="249"/>
      <c r="C13" s="25" t="s">
        <v>203</v>
      </c>
      <c r="D13" s="39">
        <v>1</v>
      </c>
      <c r="E13" s="39">
        <f>82874.7/164.25/5</f>
        <v>100.91287671232877</v>
      </c>
      <c r="F13" s="39">
        <f>E13*8*20.6</f>
        <v>16630.44208219178</v>
      </c>
      <c r="G13" s="39">
        <f t="shared" si="0"/>
        <v>100.91287671232877</v>
      </c>
      <c r="H13" s="39"/>
      <c r="I13" s="39"/>
      <c r="J13" s="39"/>
      <c r="K13" s="39"/>
      <c r="L13" s="39"/>
      <c r="M13" s="39"/>
      <c r="N13" s="39"/>
      <c r="O13" s="39"/>
      <c r="P13" s="39">
        <f t="shared" si="1"/>
        <v>100.91287671232877</v>
      </c>
    </row>
    <row r="14" spans="1:16" s="3" customFormat="1" ht="52.5" customHeight="1">
      <c r="A14" s="235" t="s">
        <v>199</v>
      </c>
      <c r="B14" s="239" t="s">
        <v>177</v>
      </c>
      <c r="C14" s="149" t="s">
        <v>198</v>
      </c>
      <c r="D14" s="150">
        <v>0.5</v>
      </c>
      <c r="E14" s="150">
        <f>E10</f>
        <v>220.27153729071537</v>
      </c>
      <c r="F14" s="150"/>
      <c r="G14" s="39">
        <f t="shared" si="0"/>
        <v>110.13576864535769</v>
      </c>
      <c r="H14" s="39"/>
      <c r="I14" s="39"/>
      <c r="J14" s="39"/>
      <c r="K14" s="39"/>
      <c r="L14" s="39"/>
      <c r="M14" s="39"/>
      <c r="N14" s="39"/>
      <c r="O14" s="39"/>
      <c r="P14" s="39">
        <f t="shared" si="1"/>
        <v>110.13576864535769</v>
      </c>
    </row>
    <row r="15" spans="1:16" s="3" customFormat="1" ht="15.75" customHeight="1">
      <c r="A15" s="270"/>
      <c r="B15" s="249"/>
      <c r="C15" s="25" t="s">
        <v>178</v>
      </c>
      <c r="D15" s="39">
        <v>4</v>
      </c>
      <c r="E15" s="39">
        <f>$E$11</f>
        <v>130.17716894977167</v>
      </c>
      <c r="F15" s="37"/>
      <c r="G15" s="37">
        <f t="shared" si="0"/>
        <v>520.7086757990867</v>
      </c>
      <c r="H15" s="37"/>
      <c r="I15" s="37"/>
      <c r="J15" s="37"/>
      <c r="K15" s="37"/>
      <c r="L15" s="37"/>
      <c r="M15" s="37"/>
      <c r="N15" s="37"/>
      <c r="O15" s="37"/>
      <c r="P15" s="39">
        <f t="shared" si="1"/>
        <v>520.7086757990867</v>
      </c>
    </row>
    <row r="16" spans="1:17" s="50" customFormat="1" ht="12.75">
      <c r="A16" s="49"/>
      <c r="B16" s="49" t="s">
        <v>6</v>
      </c>
      <c r="C16" s="49"/>
      <c r="D16" s="43">
        <f>SUM(D10:D15)</f>
        <v>9.5</v>
      </c>
      <c r="E16" s="43"/>
      <c r="F16" s="43">
        <f>SUM(F11:F13)</f>
        <v>54714.08160730593</v>
      </c>
      <c r="G16" s="43">
        <f>SUM(G10:G15)</f>
        <v>1313.2960730593604</v>
      </c>
      <c r="H16" s="43"/>
      <c r="I16" s="43">
        <f>SUM(I10:I15)</f>
        <v>1</v>
      </c>
      <c r="J16" s="43"/>
      <c r="K16" s="43">
        <f>SUM(K10:K15)</f>
        <v>515.7845862331998</v>
      </c>
      <c r="L16" s="43"/>
      <c r="M16" s="43"/>
      <c r="N16" s="43"/>
      <c r="O16" s="43"/>
      <c r="P16" s="43">
        <f>SUM(P10:P15)</f>
        <v>1829.0806592925605</v>
      </c>
      <c r="Q16" s="11">
        <f>G16+K16</f>
        <v>1829.08065929256</v>
      </c>
    </row>
    <row r="17" spans="1:16" s="3" customFormat="1" ht="12.75">
      <c r="A17" s="26"/>
      <c r="B17" s="29" t="s">
        <v>7</v>
      </c>
      <c r="C17" s="30">
        <v>0.304</v>
      </c>
      <c r="D17" s="27"/>
      <c r="E17" s="31"/>
      <c r="F17" s="27"/>
      <c r="G17" s="27">
        <f>G16*C17</f>
        <v>399.24200621004553</v>
      </c>
      <c r="H17" s="27"/>
      <c r="I17" s="27"/>
      <c r="J17" s="27"/>
      <c r="K17" s="27"/>
      <c r="L17" s="27"/>
      <c r="M17" s="27"/>
      <c r="N17" s="27"/>
      <c r="O17" s="27"/>
      <c r="P17" s="27">
        <f>G17+K17+O17</f>
        <v>399.24200621004553</v>
      </c>
    </row>
    <row r="18" spans="1:16" s="3" customFormat="1" ht="12.75">
      <c r="A18" s="26"/>
      <c r="B18" s="29" t="s">
        <v>206</v>
      </c>
      <c r="C18" s="167">
        <f>общехоз!G18</f>
        <v>0.08064178526553013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f>C18*P20</f>
        <v>195.82341197286212</v>
      </c>
    </row>
    <row r="19" spans="1:16" s="3" customFormat="1" ht="12.75">
      <c r="A19" s="26"/>
      <c r="B19" s="29" t="s">
        <v>207</v>
      </c>
      <c r="C19" s="168">
        <f>общехоз!H18</f>
        <v>0.0017155483985479482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>
        <f>C19*P20</f>
        <v>4.165886701318309</v>
      </c>
    </row>
    <row r="20" spans="1:17" s="50" customFormat="1" ht="12.75">
      <c r="A20" s="53"/>
      <c r="B20" s="53" t="s">
        <v>6</v>
      </c>
      <c r="C20" s="53"/>
      <c r="D20" s="35"/>
      <c r="E20" s="35"/>
      <c r="F20" s="35"/>
      <c r="G20" s="35">
        <f>G16+G17</f>
        <v>1712.538079269406</v>
      </c>
      <c r="H20" s="35"/>
      <c r="I20" s="35">
        <f>I16</f>
        <v>1</v>
      </c>
      <c r="J20" s="35"/>
      <c r="K20" s="35">
        <f>K16</f>
        <v>515.7845862331998</v>
      </c>
      <c r="L20" s="35"/>
      <c r="M20" s="35"/>
      <c r="N20" s="35"/>
      <c r="O20" s="35">
        <f>O16+O17+O18+O19</f>
        <v>0</v>
      </c>
      <c r="P20" s="35">
        <f>P16+P17+P18+P19</f>
        <v>2428.3119641767867</v>
      </c>
      <c r="Q20" s="151"/>
    </row>
    <row r="21" spans="1:16" s="3" customFormat="1" ht="25.5">
      <c r="A21" s="44" t="s">
        <v>1</v>
      </c>
      <c r="B21" s="51" t="s">
        <v>45</v>
      </c>
      <c r="C21" s="4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3" customFormat="1" ht="25.5">
      <c r="A22" s="42" t="s">
        <v>2</v>
      </c>
      <c r="B22" s="49" t="s">
        <v>46</v>
      </c>
      <c r="C22" s="4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s="3" customFormat="1" ht="38.25">
      <c r="A23" s="42" t="s">
        <v>3</v>
      </c>
      <c r="B23" s="49" t="s">
        <v>47</v>
      </c>
      <c r="C23" s="42"/>
      <c r="D23" s="34"/>
      <c r="E23" s="34"/>
      <c r="F23" s="34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1:16" s="3" customFormat="1" ht="32.25" customHeight="1">
      <c r="A24" s="28" t="s">
        <v>11</v>
      </c>
      <c r="B24" s="25" t="s">
        <v>179</v>
      </c>
      <c r="C24" s="25" t="s">
        <v>178</v>
      </c>
      <c r="D24" s="39">
        <v>0.5</v>
      </c>
      <c r="E24" s="39">
        <f>$E$11</f>
        <v>130.17716894977167</v>
      </c>
      <c r="F24" s="27"/>
      <c r="G24" s="39">
        <f>D24*E24</f>
        <v>65.08858447488583</v>
      </c>
      <c r="H24" s="64"/>
      <c r="I24" s="164"/>
      <c r="J24" s="164"/>
      <c r="K24" s="164"/>
      <c r="L24" s="39"/>
      <c r="M24" s="39"/>
      <c r="N24" s="39"/>
      <c r="O24" s="39"/>
      <c r="P24" s="39">
        <f>G24+K24+O24</f>
        <v>65.08858447488583</v>
      </c>
    </row>
    <row r="25" spans="1:16" s="3" customFormat="1" ht="43.5" customHeight="1">
      <c r="A25" s="28" t="s">
        <v>12</v>
      </c>
      <c r="B25" s="25" t="s">
        <v>180</v>
      </c>
      <c r="C25" s="24" t="s">
        <v>178</v>
      </c>
      <c r="D25" s="39">
        <v>0.5</v>
      </c>
      <c r="E25" s="39">
        <f>$E$11</f>
        <v>130.17716894977167</v>
      </c>
      <c r="F25" s="27">
        <f>E25*8*20.6</f>
        <v>21453.197442922374</v>
      </c>
      <c r="G25" s="39">
        <f>D25*E25</f>
        <v>65.08858447488583</v>
      </c>
      <c r="H25" s="64" t="s">
        <v>200</v>
      </c>
      <c r="I25" s="39">
        <v>0.5</v>
      </c>
      <c r="J25" s="39">
        <f>$J$12</f>
        <v>515.7845862331998</v>
      </c>
      <c r="K25" s="39">
        <f>I25*J25</f>
        <v>257.8922931165999</v>
      </c>
      <c r="L25" s="39"/>
      <c r="M25" s="39"/>
      <c r="N25" s="39"/>
      <c r="O25" s="39"/>
      <c r="P25" s="39">
        <f>G25+K25+O25</f>
        <v>322.98087759148575</v>
      </c>
    </row>
    <row r="26" spans="1:16" s="3" customFormat="1" ht="56.25" customHeight="1">
      <c r="A26" s="266" t="s">
        <v>13</v>
      </c>
      <c r="B26" s="239" t="s">
        <v>181</v>
      </c>
      <c r="C26" s="158" t="s">
        <v>202</v>
      </c>
      <c r="D26" s="150">
        <v>1</v>
      </c>
      <c r="E26" s="39">
        <f>29203.4/164.25/2</f>
        <v>88.89923896499239</v>
      </c>
      <c r="F26" s="38"/>
      <c r="G26" s="39">
        <f>D26*E26</f>
        <v>88.89923896499239</v>
      </c>
      <c r="H26" s="38"/>
      <c r="I26" s="36"/>
      <c r="J26" s="38"/>
      <c r="K26" s="36"/>
      <c r="L26" s="150"/>
      <c r="M26" s="150"/>
      <c r="N26" s="150"/>
      <c r="O26" s="150"/>
      <c r="P26" s="150">
        <f>G26+K26+O26</f>
        <v>88.89923896499239</v>
      </c>
    </row>
    <row r="27" spans="1:16" s="3" customFormat="1" ht="56.25" customHeight="1" thickBot="1">
      <c r="A27" s="267"/>
      <c r="B27" s="267"/>
      <c r="C27" s="165" t="s">
        <v>204</v>
      </c>
      <c r="D27" s="58">
        <v>0.5</v>
      </c>
      <c r="E27" s="39">
        <f>21381.6/164.25</f>
        <v>130.17716894977167</v>
      </c>
      <c r="F27" s="58"/>
      <c r="G27" s="52">
        <f>D27*E27</f>
        <v>65.08858447488583</v>
      </c>
      <c r="H27" s="58"/>
      <c r="I27" s="63"/>
      <c r="J27" s="58"/>
      <c r="K27" s="63"/>
      <c r="L27" s="58"/>
      <c r="M27" s="58"/>
      <c r="N27" s="58"/>
      <c r="O27" s="58"/>
      <c r="P27" s="150">
        <f>G27+K27+O27</f>
        <v>65.08858447488583</v>
      </c>
    </row>
    <row r="28" spans="1:17" s="50" customFormat="1" ht="14.25" customHeight="1">
      <c r="A28" s="59"/>
      <c r="B28" s="59" t="s">
        <v>6</v>
      </c>
      <c r="C28" s="59"/>
      <c r="D28" s="60">
        <f>SUM(D24:D27)</f>
        <v>2.5</v>
      </c>
      <c r="E28" s="60"/>
      <c r="F28" s="60"/>
      <c r="G28" s="60">
        <f>SUM(G24:G27)</f>
        <v>284.1649923896499</v>
      </c>
      <c r="H28" s="60"/>
      <c r="I28" s="60">
        <f>SUM(I24:I27)</f>
        <v>0.5</v>
      </c>
      <c r="J28" s="60"/>
      <c r="K28" s="60">
        <f>SUM(K24:K27)</f>
        <v>257.8922931165999</v>
      </c>
      <c r="L28" s="60"/>
      <c r="M28" s="60"/>
      <c r="N28" s="60"/>
      <c r="O28" s="60"/>
      <c r="P28" s="60">
        <f>SUM(P24:P27)</f>
        <v>542.0572855062497</v>
      </c>
      <c r="Q28" s="11">
        <f>G28+K28</f>
        <v>542.0572855062499</v>
      </c>
    </row>
    <row r="29" spans="1:16" s="3" customFormat="1" ht="14.25" customHeight="1">
      <c r="A29" s="44"/>
      <c r="B29" s="40" t="s">
        <v>7</v>
      </c>
      <c r="C29" s="41">
        <f>C17</f>
        <v>0.304</v>
      </c>
      <c r="D29" s="39"/>
      <c r="E29" s="39"/>
      <c r="F29" s="39"/>
      <c r="G29" s="39">
        <f>G28*C29</f>
        <v>86.38615768645357</v>
      </c>
      <c r="H29" s="39"/>
      <c r="I29" s="45"/>
      <c r="J29" s="39"/>
      <c r="K29" s="45"/>
      <c r="L29" s="39"/>
      <c r="M29" s="39"/>
      <c r="N29" s="39"/>
      <c r="O29" s="39"/>
      <c r="P29" s="39">
        <f>G29+K29+O29</f>
        <v>86.38615768645357</v>
      </c>
    </row>
    <row r="30" spans="1:16" s="3" customFormat="1" ht="14.25" customHeight="1">
      <c r="A30" s="44"/>
      <c r="B30" s="29" t="s">
        <v>210</v>
      </c>
      <c r="C30" s="167">
        <f>C18</f>
        <v>0.08064178526553013</v>
      </c>
      <c r="D30" s="39"/>
      <c r="E30" s="39"/>
      <c r="F30" s="39"/>
      <c r="G30" s="39"/>
      <c r="H30" s="39"/>
      <c r="I30" s="45"/>
      <c r="J30" s="39"/>
      <c r="K30" s="45"/>
      <c r="L30" s="39"/>
      <c r="M30" s="39"/>
      <c r="N30" s="39"/>
      <c r="O30" s="39"/>
      <c r="P30" s="39">
        <f>C30*P32</f>
        <v>55.22716309588459</v>
      </c>
    </row>
    <row r="31" spans="1:16" s="3" customFormat="1" ht="14.25" customHeight="1">
      <c r="A31" s="44"/>
      <c r="B31" s="29" t="s">
        <v>211</v>
      </c>
      <c r="C31" s="168">
        <f>C19</f>
        <v>0.0017155483985479482</v>
      </c>
      <c r="D31" s="39"/>
      <c r="E31" s="39"/>
      <c r="F31" s="39"/>
      <c r="G31" s="39"/>
      <c r="H31" s="39"/>
      <c r="I31" s="45"/>
      <c r="J31" s="39"/>
      <c r="K31" s="45"/>
      <c r="L31" s="39"/>
      <c r="M31" s="39"/>
      <c r="N31" s="39"/>
      <c r="O31" s="39"/>
      <c r="P31" s="37">
        <f>C31*P32</f>
        <v>1.1748855868396717</v>
      </c>
    </row>
    <row r="32" spans="1:16" s="50" customFormat="1" ht="16.5" customHeight="1">
      <c r="A32" s="51"/>
      <c r="B32" s="51" t="s">
        <v>6</v>
      </c>
      <c r="C32" s="51"/>
      <c r="D32" s="45"/>
      <c r="E32" s="45"/>
      <c r="F32" s="45"/>
      <c r="G32" s="45">
        <f>G28+G29</f>
        <v>370.55115007610345</v>
      </c>
      <c r="H32" s="45"/>
      <c r="I32" s="45">
        <f>I28+I29</f>
        <v>0.5</v>
      </c>
      <c r="J32" s="45"/>
      <c r="K32" s="45">
        <f>K28+K29</f>
        <v>257.8922931165999</v>
      </c>
      <c r="L32" s="45"/>
      <c r="M32" s="45"/>
      <c r="N32" s="45"/>
      <c r="O32" s="45">
        <f>O28</f>
        <v>0</v>
      </c>
      <c r="P32" s="45">
        <f>P28+P29+P30+P31</f>
        <v>684.8454918754276</v>
      </c>
    </row>
    <row r="33" spans="1:16" s="3" customFormat="1" ht="39" customHeight="1">
      <c r="A33" s="42" t="s">
        <v>10</v>
      </c>
      <c r="B33" s="180" t="s">
        <v>225</v>
      </c>
      <c r="C33" s="42"/>
      <c r="D33" s="34"/>
      <c r="E33" s="34"/>
      <c r="F33" s="34"/>
      <c r="G33" s="39"/>
      <c r="H33" s="64"/>
      <c r="I33" s="39"/>
      <c r="J33" s="39"/>
      <c r="K33" s="39"/>
      <c r="L33" s="34"/>
      <c r="M33" s="34"/>
      <c r="N33" s="34"/>
      <c r="O33" s="34"/>
      <c r="P33" s="34"/>
    </row>
    <row r="34" spans="1:16" s="3" customFormat="1" ht="38.25">
      <c r="A34" s="268" t="s">
        <v>33</v>
      </c>
      <c r="B34" s="235" t="s">
        <v>225</v>
      </c>
      <c r="C34" s="44" t="s">
        <v>178</v>
      </c>
      <c r="D34" s="34">
        <v>0.5</v>
      </c>
      <c r="E34" s="34">
        <f>$E$11</f>
        <v>130.17716894977167</v>
      </c>
      <c r="F34" s="34">
        <v>19509.02</v>
      </c>
      <c r="G34" s="39">
        <f>D34*E34</f>
        <v>65.08858447488583</v>
      </c>
      <c r="H34" s="64" t="s">
        <v>200</v>
      </c>
      <c r="I34" s="39">
        <v>0.5</v>
      </c>
      <c r="J34" s="39">
        <f>$J$12</f>
        <v>515.7845862331998</v>
      </c>
      <c r="K34" s="39">
        <f>I34*J34</f>
        <v>257.8922931165999</v>
      </c>
      <c r="L34" s="39"/>
      <c r="M34" s="39"/>
      <c r="N34" s="39"/>
      <c r="O34" s="39"/>
      <c r="P34" s="39">
        <f>G34+K34+O34</f>
        <v>322.98087759148575</v>
      </c>
    </row>
    <row r="35" spans="1:16" s="3" customFormat="1" ht="13.5" thickBot="1">
      <c r="A35" s="269"/>
      <c r="B35" s="241"/>
      <c r="C35" s="190" t="s">
        <v>217</v>
      </c>
      <c r="D35" s="187">
        <v>0.5</v>
      </c>
      <c r="E35" s="191">
        <f>26123/164.25</f>
        <v>159.0441400304414</v>
      </c>
      <c r="F35" s="192">
        <v>22965</v>
      </c>
      <c r="G35" s="58">
        <f>D35*E35</f>
        <v>79.5220700152207</v>
      </c>
      <c r="H35" s="192"/>
      <c r="I35" s="192"/>
      <c r="J35" s="192"/>
      <c r="K35" s="192"/>
      <c r="L35" s="192"/>
      <c r="M35" s="192"/>
      <c r="N35" s="192"/>
      <c r="O35" s="192"/>
      <c r="P35" s="192">
        <f>G35+K35+O35</f>
        <v>79.5220700152207</v>
      </c>
    </row>
    <row r="36" spans="1:16" s="3" customFormat="1" ht="15">
      <c r="A36" s="177"/>
      <c r="B36" s="188" t="s">
        <v>6</v>
      </c>
      <c r="C36" s="163"/>
      <c r="D36" s="179">
        <f>SUM(D34:D35)</f>
        <v>1</v>
      </c>
      <c r="E36" s="189"/>
      <c r="F36" s="189"/>
      <c r="G36" s="179">
        <f>SUM(G34:G35)</f>
        <v>144.61065449010653</v>
      </c>
      <c r="H36" s="52"/>
      <c r="I36" s="179">
        <f>SUM(I34:I35)</f>
        <v>0.5</v>
      </c>
      <c r="J36" s="52"/>
      <c r="K36" s="179">
        <f>SUM(K34:K35)</f>
        <v>257.8922931165999</v>
      </c>
      <c r="L36" s="52"/>
      <c r="M36" s="52"/>
      <c r="N36" s="52"/>
      <c r="O36" s="52"/>
      <c r="P36" s="179">
        <f>SUM(P34:P35)</f>
        <v>402.50294760670647</v>
      </c>
    </row>
    <row r="37" spans="1:16" s="3" customFormat="1" ht="12.75">
      <c r="A37" s="44"/>
      <c r="B37" s="40" t="s">
        <v>7</v>
      </c>
      <c r="C37" s="41">
        <f>C17</f>
        <v>0.304</v>
      </c>
      <c r="D37" s="12"/>
      <c r="E37" s="13"/>
      <c r="F37" s="13"/>
      <c r="G37" s="39">
        <f>G36*C37</f>
        <v>43.96163896499238</v>
      </c>
      <c r="H37" s="39"/>
      <c r="I37" s="39"/>
      <c r="J37" s="39"/>
      <c r="K37" s="39"/>
      <c r="L37" s="39"/>
      <c r="M37" s="39"/>
      <c r="N37" s="39"/>
      <c r="O37" s="39"/>
      <c r="P37" s="39">
        <f>G37+K37+O37</f>
        <v>43.96163896499238</v>
      </c>
    </row>
    <row r="38" spans="1:16" s="3" customFormat="1" ht="12.75">
      <c r="A38" s="44"/>
      <c r="B38" s="40" t="s">
        <v>210</v>
      </c>
      <c r="C38" s="167">
        <f>C18</f>
        <v>0.08064178526553013</v>
      </c>
      <c r="D38" s="12"/>
      <c r="E38" s="13"/>
      <c r="F38" s="13"/>
      <c r="G38" s="39"/>
      <c r="H38" s="39"/>
      <c r="I38" s="39"/>
      <c r="J38" s="39"/>
      <c r="K38" s="39"/>
      <c r="L38" s="39"/>
      <c r="M38" s="39"/>
      <c r="N38" s="39"/>
      <c r="O38" s="39"/>
      <c r="P38" s="39">
        <f>C38*P40</f>
        <v>39.23499052494878</v>
      </c>
    </row>
    <row r="39" spans="1:16" s="3" customFormat="1" ht="12.75">
      <c r="A39" s="44"/>
      <c r="B39" s="40" t="s">
        <v>211</v>
      </c>
      <c r="C39" s="168">
        <f>C19</f>
        <v>0.0017155483985479482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>
        <f>C39*P40</f>
        <v>0.8346730536841286</v>
      </c>
    </row>
    <row r="40" spans="1:16" s="3" customFormat="1" ht="12.75">
      <c r="A40" s="44"/>
      <c r="B40" s="51" t="s">
        <v>6</v>
      </c>
      <c r="C40" s="44"/>
      <c r="D40" s="39"/>
      <c r="E40" s="39"/>
      <c r="F40" s="39"/>
      <c r="G40" s="45">
        <f>G36+G37</f>
        <v>188.5722934550989</v>
      </c>
      <c r="H40" s="45"/>
      <c r="I40" s="45">
        <f>I36</f>
        <v>0.5</v>
      </c>
      <c r="J40" s="45"/>
      <c r="K40" s="45">
        <f>K36</f>
        <v>257.8922931165999</v>
      </c>
      <c r="L40" s="39"/>
      <c r="M40" s="39"/>
      <c r="N40" s="39"/>
      <c r="O40" s="39"/>
      <c r="P40" s="45">
        <f>P36+P37+P38+P39</f>
        <v>486.5342501503318</v>
      </c>
    </row>
    <row r="41" spans="1:16" s="3" customFormat="1" ht="51.75" customHeight="1">
      <c r="A41" s="46" t="s">
        <v>17</v>
      </c>
      <c r="B41" s="54" t="s">
        <v>43</v>
      </c>
      <c r="C41" s="5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s="3" customFormat="1" ht="48.75" customHeight="1">
      <c r="A42" s="266" t="s">
        <v>42</v>
      </c>
      <c r="B42" s="239" t="s">
        <v>182</v>
      </c>
      <c r="C42" s="25" t="s">
        <v>205</v>
      </c>
      <c r="D42" s="150">
        <v>1</v>
      </c>
      <c r="E42" s="39">
        <f>$E$12</f>
        <v>100.91287671232877</v>
      </c>
      <c r="F42" s="39">
        <f>E42*8*20.6</f>
        <v>16630.44208219178</v>
      </c>
      <c r="G42" s="39">
        <f aca="true" t="shared" si="2" ref="G42:G47">D42*E42</f>
        <v>100.91287671232877</v>
      </c>
      <c r="H42" s="64" t="s">
        <v>200</v>
      </c>
      <c r="I42" s="39">
        <v>1</v>
      </c>
      <c r="J42" s="39">
        <f>$J$12</f>
        <v>515.7845862331998</v>
      </c>
      <c r="K42" s="39">
        <f>I42*J42</f>
        <v>515.7845862331998</v>
      </c>
      <c r="L42" s="39"/>
      <c r="M42" s="39"/>
      <c r="N42" s="39"/>
      <c r="O42" s="39"/>
      <c r="P42" s="39">
        <f aca="true" t="shared" si="3" ref="P42:P47">G42+K42+O42</f>
        <v>616.6974629455285</v>
      </c>
    </row>
    <row r="43" spans="1:16" s="3" customFormat="1" ht="30" customHeight="1">
      <c r="A43" s="236"/>
      <c r="B43" s="240"/>
      <c r="C43" s="25" t="s">
        <v>205</v>
      </c>
      <c r="D43" s="150">
        <v>1</v>
      </c>
      <c r="E43" s="39">
        <f>$E$12</f>
        <v>100.91287671232877</v>
      </c>
      <c r="F43" s="39"/>
      <c r="G43" s="39">
        <f t="shared" si="2"/>
        <v>100.91287671232877</v>
      </c>
      <c r="H43" s="64"/>
      <c r="I43" s="39"/>
      <c r="J43" s="39"/>
      <c r="K43" s="39"/>
      <c r="L43" s="39"/>
      <c r="M43" s="39"/>
      <c r="N43" s="39"/>
      <c r="O43" s="39"/>
      <c r="P43" s="39">
        <f t="shared" si="3"/>
        <v>100.91287671232877</v>
      </c>
    </row>
    <row r="44" spans="1:16" s="3" customFormat="1" ht="39" customHeight="1">
      <c r="A44" s="235" t="s">
        <v>48</v>
      </c>
      <c r="B44" s="242" t="s">
        <v>183</v>
      </c>
      <c r="C44" s="25" t="s">
        <v>205</v>
      </c>
      <c r="D44" s="150">
        <v>1</v>
      </c>
      <c r="E44" s="39">
        <f>$E$12</f>
        <v>100.91287671232877</v>
      </c>
      <c r="F44" s="39"/>
      <c r="G44" s="39">
        <f t="shared" si="2"/>
        <v>100.91287671232877</v>
      </c>
      <c r="H44" s="64" t="s">
        <v>200</v>
      </c>
      <c r="I44" s="39">
        <v>1</v>
      </c>
      <c r="J44" s="39">
        <f>$J$12</f>
        <v>515.7845862331998</v>
      </c>
      <c r="K44" s="39">
        <f>I44*J44</f>
        <v>515.7845862331998</v>
      </c>
      <c r="L44" s="39"/>
      <c r="M44" s="39"/>
      <c r="N44" s="39"/>
      <c r="O44" s="39"/>
      <c r="P44" s="39">
        <f t="shared" si="3"/>
        <v>616.6974629455285</v>
      </c>
    </row>
    <row r="45" spans="1:16" s="3" customFormat="1" ht="27" customHeight="1">
      <c r="A45" s="236"/>
      <c r="B45" s="243"/>
      <c r="C45" s="176" t="s">
        <v>205</v>
      </c>
      <c r="D45" s="150">
        <v>1</v>
      </c>
      <c r="E45" s="39">
        <f>$E$12</f>
        <v>100.91287671232877</v>
      </c>
      <c r="F45" s="150"/>
      <c r="G45" s="150">
        <f t="shared" si="2"/>
        <v>100.91287671232877</v>
      </c>
      <c r="H45" s="166"/>
      <c r="I45" s="150"/>
      <c r="J45" s="150"/>
      <c r="K45" s="150"/>
      <c r="L45" s="150"/>
      <c r="M45" s="150"/>
      <c r="N45" s="150"/>
      <c r="O45" s="150"/>
      <c r="P45" s="150">
        <f t="shared" si="3"/>
        <v>100.91287671232877</v>
      </c>
    </row>
    <row r="46" spans="1:16" s="3" customFormat="1" ht="27" customHeight="1">
      <c r="A46" s="235" t="s">
        <v>92</v>
      </c>
      <c r="B46" s="235" t="s">
        <v>218</v>
      </c>
      <c r="C46" s="44" t="s">
        <v>178</v>
      </c>
      <c r="D46" s="34">
        <v>0.5</v>
      </c>
      <c r="E46" s="34">
        <f>$E$11</f>
        <v>130.17716894977167</v>
      </c>
      <c r="F46" s="34">
        <v>19509.02</v>
      </c>
      <c r="G46" s="39">
        <f t="shared" si="2"/>
        <v>65.08858447488583</v>
      </c>
      <c r="H46" s="64" t="s">
        <v>200</v>
      </c>
      <c r="I46" s="39">
        <v>0.5</v>
      </c>
      <c r="J46" s="39">
        <f>$J$12</f>
        <v>515.7845862331998</v>
      </c>
      <c r="K46" s="39">
        <f>I46*J46</f>
        <v>257.8922931165999</v>
      </c>
      <c r="L46" s="39"/>
      <c r="M46" s="39"/>
      <c r="N46" s="39"/>
      <c r="O46" s="39"/>
      <c r="P46" s="39">
        <f t="shared" si="3"/>
        <v>322.98087759148575</v>
      </c>
    </row>
    <row r="47" spans="1:16" s="3" customFormat="1" ht="27" customHeight="1" thickBot="1">
      <c r="A47" s="236"/>
      <c r="B47" s="241"/>
      <c r="C47" s="163" t="s">
        <v>217</v>
      </c>
      <c r="D47" s="187">
        <v>0.5</v>
      </c>
      <c r="E47" s="191">
        <f>$E$35</f>
        <v>159.0441400304414</v>
      </c>
      <c r="F47" s="52">
        <v>22965</v>
      </c>
      <c r="G47" s="150">
        <f t="shared" si="2"/>
        <v>79.5220700152207</v>
      </c>
      <c r="H47" s="52"/>
      <c r="I47" s="52"/>
      <c r="J47" s="52"/>
      <c r="K47" s="52"/>
      <c r="L47" s="52"/>
      <c r="M47" s="52"/>
      <c r="N47" s="52"/>
      <c r="O47" s="52"/>
      <c r="P47" s="52">
        <f t="shared" si="3"/>
        <v>79.5220700152207</v>
      </c>
    </row>
    <row r="48" spans="1:17" s="50" customFormat="1" ht="12.75">
      <c r="A48" s="59"/>
      <c r="B48" s="59" t="s">
        <v>6</v>
      </c>
      <c r="C48" s="59"/>
      <c r="D48" s="60">
        <f>SUM(D42:D47)</f>
        <v>5</v>
      </c>
      <c r="E48" s="60"/>
      <c r="F48" s="60">
        <f>SUM(F41:F44)</f>
        <v>16630.44208219178</v>
      </c>
      <c r="G48" s="60">
        <f>SUM(G42:G47)</f>
        <v>548.2621613394216</v>
      </c>
      <c r="H48" s="60"/>
      <c r="I48" s="60">
        <f>SUM(I42:I47)</f>
        <v>2.5</v>
      </c>
      <c r="J48" s="60"/>
      <c r="K48" s="60">
        <f>SUM(K42:K47)</f>
        <v>1289.4614655829994</v>
      </c>
      <c r="L48" s="60"/>
      <c r="M48" s="60"/>
      <c r="N48" s="60"/>
      <c r="O48" s="60"/>
      <c r="P48" s="60">
        <f>SUM(P42:P47)</f>
        <v>1837.723626922421</v>
      </c>
      <c r="Q48" s="11">
        <f>G48+K48</f>
        <v>1837.7236269224209</v>
      </c>
    </row>
    <row r="49" spans="1:16" s="3" customFormat="1" ht="12.75">
      <c r="A49" s="46"/>
      <c r="B49" s="61" t="s">
        <v>7</v>
      </c>
      <c r="C49" s="178">
        <f>$C$17</f>
        <v>0.304</v>
      </c>
      <c r="D49" s="37"/>
      <c r="E49" s="62"/>
      <c r="F49" s="37"/>
      <c r="G49" s="37">
        <f>G48*C49</f>
        <v>166.67169704718415</v>
      </c>
      <c r="H49" s="37"/>
      <c r="I49" s="37"/>
      <c r="J49" s="37"/>
      <c r="K49" s="37"/>
      <c r="L49" s="37"/>
      <c r="M49" s="37"/>
      <c r="N49" s="37"/>
      <c r="O49" s="37"/>
      <c r="P49" s="37">
        <f>G49+K49+O49</f>
        <v>166.67169704718415</v>
      </c>
    </row>
    <row r="50" spans="1:16" s="3" customFormat="1" ht="12.75">
      <c r="A50" s="26"/>
      <c r="B50" s="29" t="s">
        <v>208</v>
      </c>
      <c r="C50" s="219">
        <f>$C$18</f>
        <v>0.08064178526553013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195">
        <f>P52*C50</f>
        <v>176.14483636446207</v>
      </c>
    </row>
    <row r="51" spans="1:16" s="3" customFormat="1" ht="12.75">
      <c r="A51" s="26"/>
      <c r="B51" s="29" t="s">
        <v>209</v>
      </c>
      <c r="C51" s="221">
        <f>$C$19</f>
        <v>0.0017155483985479482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f>P52*C51</f>
        <v>3.747250770088178</v>
      </c>
    </row>
    <row r="52" spans="1:17" s="50" customFormat="1" ht="13.5" thickBot="1">
      <c r="A52" s="56"/>
      <c r="B52" s="56" t="s">
        <v>6</v>
      </c>
      <c r="C52" s="220"/>
      <c r="D52" s="57"/>
      <c r="E52" s="57"/>
      <c r="F52" s="57"/>
      <c r="G52" s="57">
        <f>G48+G49</f>
        <v>714.9338583866057</v>
      </c>
      <c r="H52" s="57"/>
      <c r="I52" s="57">
        <f>I48</f>
        <v>2.5</v>
      </c>
      <c r="J52" s="57"/>
      <c r="K52" s="57">
        <f>K48</f>
        <v>1289.4614655829994</v>
      </c>
      <c r="L52" s="57"/>
      <c r="M52" s="57"/>
      <c r="N52" s="57"/>
      <c r="O52" s="57">
        <f>O48+O49+O50+O51</f>
        <v>0</v>
      </c>
      <c r="P52" s="57">
        <f>P48+P49+P50+P51</f>
        <v>2184.2874111041556</v>
      </c>
      <c r="Q52" s="151"/>
    </row>
    <row r="53" spans="1:18" ht="12.75">
      <c r="A53" s="32"/>
      <c r="B53" s="53" t="s">
        <v>219</v>
      </c>
      <c r="C53" s="32"/>
      <c r="D53" s="35">
        <f>D16+D28+D36+D48</f>
        <v>18</v>
      </c>
      <c r="E53" s="35"/>
      <c r="F53" s="35" t="e">
        <f>F21+F23+F33+#REF!</f>
        <v>#REF!</v>
      </c>
      <c r="G53" s="35">
        <f>G20+G32+G40+G52</f>
        <v>2986.595381187214</v>
      </c>
      <c r="H53" s="33"/>
      <c r="I53" s="35">
        <f>I16+I28+I36+I48</f>
        <v>4.5</v>
      </c>
      <c r="J53" s="33"/>
      <c r="K53" s="35">
        <f>K16+K28+K36+K48</f>
        <v>2321.030638049399</v>
      </c>
      <c r="L53" s="38"/>
      <c r="M53" s="38"/>
      <c r="N53" s="38"/>
      <c r="O53" s="36"/>
      <c r="P53" s="35">
        <f>P20+P21+P22+P32+P52+P40</f>
        <v>5783.9791173067015</v>
      </c>
      <c r="Q53" s="10">
        <f>G53+K53+P59+P60</f>
        <v>5783.9791173067015</v>
      </c>
      <c r="R53" s="10"/>
    </row>
    <row r="54" spans="1:17" ht="12.75">
      <c r="A54" s="3"/>
      <c r="B54" s="47" t="s">
        <v>220</v>
      </c>
      <c r="C54" s="13"/>
      <c r="D54" s="13"/>
      <c r="E54" s="13"/>
      <c r="F54" s="13"/>
      <c r="G54" s="12">
        <f>G16+G28+G36+G48</f>
        <v>2290.3338812785382</v>
      </c>
      <c r="H54" s="3"/>
      <c r="I54" s="3"/>
      <c r="J54" s="3"/>
      <c r="K54" s="3"/>
      <c r="L54" s="238" t="s">
        <v>222</v>
      </c>
      <c r="M54" s="238"/>
      <c r="N54" s="238"/>
      <c r="O54" s="238"/>
      <c r="P54" s="128">
        <f>SUM(P55:P60)</f>
        <v>5783.9791173067015</v>
      </c>
      <c r="Q54" s="14"/>
    </row>
    <row r="55" spans="1:17" ht="12.75">
      <c r="A55" s="3"/>
      <c r="B55" s="47"/>
      <c r="C55" s="13"/>
      <c r="D55" s="13"/>
      <c r="E55" s="13"/>
      <c r="F55" s="13"/>
      <c r="G55" s="12"/>
      <c r="H55" s="3"/>
      <c r="I55" s="3"/>
      <c r="J55" s="3"/>
      <c r="K55" s="3"/>
      <c r="L55" s="237" t="s">
        <v>37</v>
      </c>
      <c r="M55" s="237"/>
      <c r="N55" s="237"/>
      <c r="O55" s="237"/>
      <c r="P55" s="12">
        <f>G54</f>
        <v>2290.3338812785382</v>
      </c>
      <c r="Q55" s="14"/>
    </row>
    <row r="56" spans="1:17" ht="12.75">
      <c r="A56" s="3"/>
      <c r="B56" s="47" t="s">
        <v>221</v>
      </c>
      <c r="C56" s="13"/>
      <c r="D56" s="13"/>
      <c r="E56" s="13"/>
      <c r="F56" s="13"/>
      <c r="G56" s="20">
        <f>G54/D53*164.25</f>
        <v>20899.29666666666</v>
      </c>
      <c r="H56" s="3"/>
      <c r="I56" s="3"/>
      <c r="J56" s="3"/>
      <c r="K56" s="3"/>
      <c r="L56" s="237" t="s">
        <v>38</v>
      </c>
      <c r="M56" s="237"/>
      <c r="N56" s="237"/>
      <c r="O56" s="237"/>
      <c r="P56" s="12">
        <f>P17+P29+P37+P49</f>
        <v>696.2614999086757</v>
      </c>
      <c r="Q56" s="14"/>
    </row>
    <row r="57" spans="1:17" ht="12.75">
      <c r="A57" s="3"/>
      <c r="B57" s="47"/>
      <c r="C57" s="13"/>
      <c r="D57" s="13"/>
      <c r="E57" s="13"/>
      <c r="F57" s="13"/>
      <c r="G57" s="20"/>
      <c r="H57" s="3"/>
      <c r="I57" s="3"/>
      <c r="J57" s="3"/>
      <c r="K57" s="3"/>
      <c r="L57" s="237" t="s">
        <v>39</v>
      </c>
      <c r="M57" s="237"/>
      <c r="N57" s="237"/>
      <c r="O57" s="237"/>
      <c r="P57" s="12">
        <f>K53</f>
        <v>2321.030638049399</v>
      </c>
      <c r="Q57" s="14"/>
    </row>
    <row r="58" spans="1:17" ht="12.75">
      <c r="A58" s="3"/>
      <c r="B58" s="48"/>
      <c r="C58" s="3"/>
      <c r="D58" s="3"/>
      <c r="E58" s="3"/>
      <c r="F58" s="3"/>
      <c r="G58" s="3"/>
      <c r="H58" s="3"/>
      <c r="I58" s="3"/>
      <c r="J58" s="3"/>
      <c r="K58" s="3"/>
      <c r="L58" s="237" t="s">
        <v>223</v>
      </c>
      <c r="M58" s="237"/>
      <c r="N58" s="237"/>
      <c r="O58" s="237"/>
      <c r="P58" s="12"/>
      <c r="Q58" s="15"/>
    </row>
    <row r="59" spans="1:17" ht="12.75">
      <c r="A59" s="3"/>
      <c r="B59" s="48"/>
      <c r="C59" s="3"/>
      <c r="D59" s="3"/>
      <c r="E59" s="3"/>
      <c r="F59" s="3"/>
      <c r="G59" s="3"/>
      <c r="H59" s="3"/>
      <c r="I59" s="3"/>
      <c r="J59" s="3"/>
      <c r="K59" s="3"/>
      <c r="L59" s="237" t="s">
        <v>40</v>
      </c>
      <c r="M59" s="237"/>
      <c r="N59" s="237"/>
      <c r="O59" s="237"/>
      <c r="P59" s="12">
        <f>P18+P30+P38+P50</f>
        <v>466.4304019581575</v>
      </c>
      <c r="Q59" s="14"/>
    </row>
    <row r="60" spans="1:17" ht="12.75">
      <c r="A60" s="3"/>
      <c r="B60" s="48"/>
      <c r="C60" s="3"/>
      <c r="D60" s="3"/>
      <c r="E60" s="3"/>
      <c r="F60" s="3"/>
      <c r="G60" s="3"/>
      <c r="H60" s="3"/>
      <c r="I60" s="3"/>
      <c r="J60" s="3"/>
      <c r="K60" s="3"/>
      <c r="L60" s="237" t="s">
        <v>41</v>
      </c>
      <c r="M60" s="237"/>
      <c r="N60" s="237"/>
      <c r="O60" s="237"/>
      <c r="P60" s="12">
        <f>P19+P31+P39+P51</f>
        <v>9.922696111930287</v>
      </c>
      <c r="Q60" s="14"/>
    </row>
    <row r="61" spans="2:16" ht="15.75">
      <c r="B61" s="261" t="s">
        <v>240</v>
      </c>
      <c r="C61" s="261"/>
      <c r="D61" s="262"/>
      <c r="E61" s="262"/>
      <c r="F61" s="3"/>
      <c r="G61" s="3"/>
      <c r="I61" s="3"/>
      <c r="J61" s="3"/>
      <c r="K61" s="3"/>
      <c r="P61" s="3"/>
    </row>
    <row r="62" spans="4:16" ht="12.75">
      <c r="D62" s="3"/>
      <c r="E62" s="3"/>
      <c r="F62" s="3"/>
      <c r="G62" s="3"/>
      <c r="I62" s="3"/>
      <c r="J62" s="3"/>
      <c r="K62" s="3"/>
      <c r="P62" s="11"/>
    </row>
    <row r="63" spans="4:16" ht="12.75">
      <c r="D63" s="3"/>
      <c r="E63" s="3"/>
      <c r="F63" s="3"/>
      <c r="G63" s="3"/>
      <c r="I63" s="3"/>
      <c r="J63" s="3"/>
      <c r="K63" s="3"/>
      <c r="P63" s="3"/>
    </row>
    <row r="64" spans="4:16" ht="12.75">
      <c r="D64" s="3"/>
      <c r="E64" s="3"/>
      <c r="F64" s="3"/>
      <c r="G64" s="3"/>
      <c r="I64" s="3"/>
      <c r="J64" s="3"/>
      <c r="K64" s="3"/>
      <c r="P64" s="3"/>
    </row>
    <row r="65" spans="4:16" ht="12.75">
      <c r="D65" s="3"/>
      <c r="E65" s="3"/>
      <c r="F65" s="3"/>
      <c r="G65" s="3"/>
      <c r="I65" s="3"/>
      <c r="J65" s="3"/>
      <c r="K65" s="3"/>
      <c r="P65" s="3"/>
    </row>
    <row r="66" spans="4:16" ht="12.75">
      <c r="D66" s="3"/>
      <c r="E66" s="3"/>
      <c r="F66" s="3"/>
      <c r="G66" s="3"/>
      <c r="I66" s="3"/>
      <c r="J66" s="3"/>
      <c r="K66" s="3"/>
      <c r="P66" s="3"/>
    </row>
    <row r="67" spans="4:16" ht="12.75">
      <c r="D67" s="3"/>
      <c r="E67" s="3"/>
      <c r="F67" s="3"/>
      <c r="G67" s="3"/>
      <c r="I67" s="3"/>
      <c r="J67" s="3"/>
      <c r="K67" s="3"/>
      <c r="P67" s="3"/>
    </row>
    <row r="68" spans="4:16" ht="12.75">
      <c r="D68" s="3"/>
      <c r="E68" s="3"/>
      <c r="F68" s="3"/>
      <c r="G68" s="3"/>
      <c r="I68" s="3"/>
      <c r="J68" s="3"/>
      <c r="K68" s="3"/>
      <c r="P68" s="3"/>
    </row>
    <row r="69" spans="4:16" ht="12.75">
      <c r="D69" s="3"/>
      <c r="E69" s="3"/>
      <c r="F69" s="3"/>
      <c r="G69" s="3"/>
      <c r="I69" s="3"/>
      <c r="J69" s="3"/>
      <c r="K69" s="3"/>
      <c r="P69" s="3"/>
    </row>
    <row r="70" spans="4:16" ht="12.75">
      <c r="D70" s="3"/>
      <c r="E70" s="3"/>
      <c r="F70" s="3"/>
      <c r="G70" s="3"/>
      <c r="I70" s="3"/>
      <c r="J70" s="3"/>
      <c r="K70" s="3"/>
      <c r="P70" s="3"/>
    </row>
    <row r="71" spans="4:16" ht="12.75">
      <c r="D71" s="3"/>
      <c r="E71" s="3"/>
      <c r="F71" s="3"/>
      <c r="G71" s="3"/>
      <c r="I71" s="3"/>
      <c r="J71" s="3"/>
      <c r="K71" s="3"/>
      <c r="P71" s="3"/>
    </row>
    <row r="72" spans="4:16" ht="12.75">
      <c r="D72" s="3"/>
      <c r="E72" s="3"/>
      <c r="F72" s="3"/>
      <c r="G72" s="3"/>
      <c r="I72" s="3"/>
      <c r="J72" s="3"/>
      <c r="K72" s="3"/>
      <c r="P72" s="3"/>
    </row>
    <row r="73" spans="4:16" ht="12.75">
      <c r="D73" s="3"/>
      <c r="E73" s="3"/>
      <c r="F73" s="3"/>
      <c r="G73" s="3"/>
      <c r="I73" s="3"/>
      <c r="J73" s="3"/>
      <c r="K73" s="3"/>
      <c r="P73" s="3"/>
    </row>
    <row r="74" spans="4:16" ht="12.75">
      <c r="D74" s="3"/>
      <c r="E74" s="3"/>
      <c r="F74" s="3"/>
      <c r="G74" s="3"/>
      <c r="I74" s="3"/>
      <c r="J74" s="3"/>
      <c r="K74" s="3"/>
      <c r="P74" s="3"/>
    </row>
    <row r="75" spans="4:16" ht="12.75">
      <c r="D75" s="3"/>
      <c r="E75" s="3"/>
      <c r="F75" s="3"/>
      <c r="G75" s="3"/>
      <c r="I75" s="3"/>
      <c r="J75" s="3"/>
      <c r="K75" s="3"/>
      <c r="P75" s="3"/>
    </row>
    <row r="76" spans="4:16" ht="12.75">
      <c r="D76" s="3"/>
      <c r="E76" s="3"/>
      <c r="F76" s="3"/>
      <c r="G76" s="3"/>
      <c r="I76" s="3"/>
      <c r="J76" s="3"/>
      <c r="K76" s="3"/>
      <c r="P76" s="3"/>
    </row>
    <row r="77" spans="4:16" ht="12.75">
      <c r="D77" s="3"/>
      <c r="E77" s="3"/>
      <c r="F77" s="3"/>
      <c r="G77" s="3"/>
      <c r="I77" s="3"/>
      <c r="J77" s="3"/>
      <c r="K77" s="3"/>
      <c r="P77" s="3"/>
    </row>
    <row r="78" spans="4:16" ht="12.75">
      <c r="D78" s="3"/>
      <c r="E78" s="3"/>
      <c r="F78" s="3"/>
      <c r="G78" s="3"/>
      <c r="I78" s="3"/>
      <c r="J78" s="3"/>
      <c r="K78" s="3"/>
      <c r="P78" s="3"/>
    </row>
    <row r="79" spans="4:16" ht="12.75">
      <c r="D79" s="3"/>
      <c r="E79" s="3"/>
      <c r="F79" s="3"/>
      <c r="G79" s="3"/>
      <c r="I79" s="3"/>
      <c r="J79" s="3"/>
      <c r="K79" s="3"/>
      <c r="P79" s="3"/>
    </row>
    <row r="80" spans="4:16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4:16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4:16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4:16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4:16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4:16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4:16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4:16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4:16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4:16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4:16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4:16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4:16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4:16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4:16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4:16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4:16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4:16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4:16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4:16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4:16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4:16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4:16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4:16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4:16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4:16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4:16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4:16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4:16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4:16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4:16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4:16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4:16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4:16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4:16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4:16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4:16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4:16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4:16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4:16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4:16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4:16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4:16" ht="12.7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4:16" ht="12.7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4:16" ht="12.7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4:16" ht="12.7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4:16" ht="12.7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4:16" ht="12.7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4:16" ht="12.7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4:16" ht="12.7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4:16" ht="12.7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4:16" ht="12.7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4:16" ht="12.7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4:16" ht="12.7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4:16" ht="12.7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4:16" ht="12.7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4:16" ht="12.7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4:16" ht="12.7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4:16" ht="12.7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4:16" ht="12.7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4:16" ht="12.7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4:16" ht="12.7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4:16" ht="12.7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</sheetData>
  <sheetProtection/>
  <mergeCells count="34">
    <mergeCell ref="B61:E61"/>
    <mergeCell ref="P5:P7"/>
    <mergeCell ref="C6:G6"/>
    <mergeCell ref="A26:A27"/>
    <mergeCell ref="B26:B27"/>
    <mergeCell ref="A42:A43"/>
    <mergeCell ref="B34:B35"/>
    <mergeCell ref="A34:A35"/>
    <mergeCell ref="A14:A15"/>
    <mergeCell ref="B14:B15"/>
    <mergeCell ref="L1:O1"/>
    <mergeCell ref="A2:P2"/>
    <mergeCell ref="A3:P3"/>
    <mergeCell ref="A5:A7"/>
    <mergeCell ref="B5:B7"/>
    <mergeCell ref="C5:G5"/>
    <mergeCell ref="H5:K5"/>
    <mergeCell ref="L5:O5"/>
    <mergeCell ref="B42:B43"/>
    <mergeCell ref="B46:B47"/>
    <mergeCell ref="L59:O59"/>
    <mergeCell ref="A44:A45"/>
    <mergeCell ref="B44:B45"/>
    <mergeCell ref="H6:K6"/>
    <mergeCell ref="L6:O6"/>
    <mergeCell ref="A12:A13"/>
    <mergeCell ref="B12:B13"/>
    <mergeCell ref="L58:O58"/>
    <mergeCell ref="A46:A47"/>
    <mergeCell ref="L60:O60"/>
    <mergeCell ref="L54:O54"/>
    <mergeCell ref="L55:O55"/>
    <mergeCell ref="L56:O56"/>
    <mergeCell ref="L57:O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B10" sqref="B10:E10"/>
    </sheetView>
  </sheetViews>
  <sheetFormatPr defaultColWidth="9.140625" defaultRowHeight="12.75"/>
  <cols>
    <col min="1" max="1" width="30.7109375" style="129" customWidth="1"/>
    <col min="2" max="2" width="17.28125" style="129" customWidth="1"/>
    <col min="3" max="3" width="16.28125" style="129" customWidth="1"/>
    <col min="4" max="4" width="15.57421875" style="129" customWidth="1"/>
    <col min="5" max="5" width="17.140625" style="129" customWidth="1"/>
    <col min="6" max="6" width="15.421875" style="129" customWidth="1"/>
    <col min="7" max="7" width="13.57421875" style="129" customWidth="1"/>
    <col min="8" max="8" width="12.00390625" style="129" customWidth="1"/>
    <col min="9" max="9" width="9.140625" style="129" customWidth="1"/>
    <col min="10" max="10" width="10.421875" style="129" bestFit="1" customWidth="1"/>
    <col min="11" max="16384" width="9.140625" style="129" customWidth="1"/>
  </cols>
  <sheetData>
    <row r="1" ht="19.5" customHeight="1">
      <c r="A1" s="143"/>
    </row>
    <row r="2" spans="1:8" ht="53.25" customHeight="1">
      <c r="A2" s="283" t="s">
        <v>275</v>
      </c>
      <c r="B2" s="283"/>
      <c r="C2" s="283"/>
      <c r="D2" s="284"/>
      <c r="E2" s="284"/>
      <c r="F2" s="284"/>
      <c r="G2" s="289"/>
      <c r="H2" s="289"/>
    </row>
    <row r="3" ht="27" customHeight="1" thickBot="1"/>
    <row r="4" spans="1:8" ht="162" customHeight="1" thickBot="1">
      <c r="A4" s="285" t="s">
        <v>170</v>
      </c>
      <c r="B4" s="131" t="s">
        <v>270</v>
      </c>
      <c r="C4" s="131" t="s">
        <v>271</v>
      </c>
      <c r="D4" s="132" t="s">
        <v>212</v>
      </c>
      <c r="E4" s="130" t="s">
        <v>276</v>
      </c>
      <c r="F4" s="132" t="s">
        <v>213</v>
      </c>
      <c r="G4" s="132" t="s">
        <v>214</v>
      </c>
      <c r="H4" s="132" t="s">
        <v>215</v>
      </c>
    </row>
    <row r="5" spans="1:8" ht="13.5" thickBot="1">
      <c r="A5" s="286"/>
      <c r="B5" s="133" t="s">
        <v>237</v>
      </c>
      <c r="C5" s="133" t="s">
        <v>237</v>
      </c>
      <c r="D5" s="133" t="s">
        <v>237</v>
      </c>
      <c r="E5" s="133" t="s">
        <v>237</v>
      </c>
      <c r="F5" s="133" t="s">
        <v>237</v>
      </c>
      <c r="G5" s="133" t="s">
        <v>237</v>
      </c>
      <c r="H5" s="133" t="s">
        <v>237</v>
      </c>
    </row>
    <row r="6" spans="1:8" ht="13.5" thickBot="1">
      <c r="A6" s="135">
        <v>1</v>
      </c>
      <c r="B6" s="136">
        <v>2</v>
      </c>
      <c r="C6" s="136">
        <v>3</v>
      </c>
      <c r="D6" s="137">
        <v>4</v>
      </c>
      <c r="E6" s="137">
        <v>5</v>
      </c>
      <c r="F6" s="173">
        <v>6</v>
      </c>
      <c r="G6" s="173">
        <v>7</v>
      </c>
      <c r="H6" s="173">
        <v>8</v>
      </c>
    </row>
    <row r="7" spans="1:10" ht="217.5" thickBot="1">
      <c r="A7" s="141" t="s">
        <v>216</v>
      </c>
      <c r="B7" s="142">
        <f>'до 15 кВт- льготн. катег. '!J3</f>
        <v>400</v>
      </c>
      <c r="C7" s="142">
        <f>'до 15 кВт- льготн. катег. '!I3</f>
        <v>28</v>
      </c>
      <c r="D7" s="145">
        <f>'до 15 кВт- льготн. катег. '!F5</f>
        <v>322.88195626966586</v>
      </c>
      <c r="E7" s="172">
        <f>B7*D7/1000</f>
        <v>129.15278250786633</v>
      </c>
      <c r="F7" s="172">
        <v>466.1</v>
      </c>
      <c r="G7" s="172">
        <f>C7*F7/1000</f>
        <v>13.0508</v>
      </c>
      <c r="H7" s="174">
        <f>E7-G7</f>
        <v>116.10198250786634</v>
      </c>
      <c r="J7" s="175"/>
    </row>
    <row r="8" ht="12.75">
      <c r="J8" s="175"/>
    </row>
    <row r="9" ht="12.75">
      <c r="E9" s="144"/>
    </row>
    <row r="10" spans="2:5" ht="15.75">
      <c r="B10" s="261" t="s">
        <v>240</v>
      </c>
      <c r="C10" s="261"/>
      <c r="D10" s="262"/>
      <c r="E10" s="262"/>
    </row>
  </sheetData>
  <sheetProtection/>
  <mergeCells count="3">
    <mergeCell ref="A2:H2"/>
    <mergeCell ref="A4:A5"/>
    <mergeCell ref="B10:E10"/>
  </mergeCells>
  <printOptions/>
  <pageMargins left="0.7086614173228347" right="0.2362204724409449" top="0.66" bottom="0.5118110236220472" header="0.31496062992125984" footer="0.31496062992125984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4.8515625" style="66" customWidth="1"/>
    <col min="2" max="3" width="18.28125" style="66" customWidth="1"/>
    <col min="4" max="4" width="13.57421875" style="66" customWidth="1"/>
    <col min="5" max="5" width="15.57421875" style="66" customWidth="1"/>
    <col min="6" max="6" width="14.28125" style="66" customWidth="1"/>
    <col min="7" max="7" width="9.140625" style="66" customWidth="1"/>
    <col min="8" max="8" width="9.7109375" style="66" customWidth="1"/>
    <col min="9" max="16384" width="9.140625" style="66" customWidth="1"/>
  </cols>
  <sheetData>
    <row r="3" spans="1:6" ht="12.75">
      <c r="A3" s="66" t="s">
        <v>243</v>
      </c>
      <c r="B3" s="200"/>
      <c r="C3" s="200"/>
      <c r="D3" s="201"/>
      <c r="E3" s="201"/>
      <c r="F3" s="201"/>
    </row>
    <row r="7" spans="1:8" ht="51">
      <c r="A7" s="202" t="s">
        <v>244</v>
      </c>
      <c r="B7" s="203" t="s">
        <v>245</v>
      </c>
      <c r="C7" s="203" t="s">
        <v>246</v>
      </c>
      <c r="D7" s="204" t="s">
        <v>247</v>
      </c>
      <c r="E7" s="204" t="s">
        <v>248</v>
      </c>
      <c r="F7" s="204" t="s">
        <v>249</v>
      </c>
      <c r="G7" s="204" t="s">
        <v>250</v>
      </c>
      <c r="H7" s="205" t="s">
        <v>251</v>
      </c>
    </row>
    <row r="8" spans="1:8" ht="12.75">
      <c r="A8" s="206" t="s">
        <v>252</v>
      </c>
      <c r="B8" s="207">
        <v>1929053.69</v>
      </c>
      <c r="C8" s="207">
        <f>B8/1.18</f>
        <v>1634791.2627118644</v>
      </c>
      <c r="D8" s="197">
        <f>C8*$D$22/$C$22</f>
        <v>1.734013237869767</v>
      </c>
      <c r="E8" s="197">
        <f>D8*$E$22/100</f>
        <v>131832.48596157503</v>
      </c>
      <c r="F8" s="208">
        <f>D8*$F$22/100</f>
        <v>2804.563532705517</v>
      </c>
      <c r="G8" s="209"/>
      <c r="H8" s="209"/>
    </row>
    <row r="9" spans="1:8" ht="12.75">
      <c r="A9" s="206" t="s">
        <v>253</v>
      </c>
      <c r="B9" s="207">
        <v>16594091.48</v>
      </c>
      <c r="C9" s="207">
        <f aca="true" t="shared" si="0" ref="C9:C21">B9/1.18</f>
        <v>14062789.38983051</v>
      </c>
      <c r="D9" s="197">
        <f aca="true" t="shared" si="1" ref="D9:D21">C9*$D$22/$C$22</f>
        <v>14.916315935582858</v>
      </c>
      <c r="E9" s="197">
        <f aca="true" t="shared" si="2" ref="E9:E20">D9*$E$22/100</f>
        <v>1134048.4422090875</v>
      </c>
      <c r="F9" s="208">
        <f aca="true" t="shared" si="3" ref="F9:F20">D9*$F$22/100</f>
        <v>24125.39581684081</v>
      </c>
      <c r="G9" s="209"/>
      <c r="H9" s="209"/>
    </row>
    <row r="10" spans="1:8" ht="12.75">
      <c r="A10" s="206" t="s">
        <v>254</v>
      </c>
      <c r="B10" s="207">
        <v>546360</v>
      </c>
      <c r="C10" s="207">
        <f t="shared" si="0"/>
        <v>463016.9491525424</v>
      </c>
      <c r="D10" s="197">
        <f t="shared" si="1"/>
        <v>0.4911192869092856</v>
      </c>
      <c r="E10" s="197">
        <f t="shared" si="2"/>
        <v>37338.513387860214</v>
      </c>
      <c r="F10" s="208">
        <f t="shared" si="3"/>
        <v>794.327985619201</v>
      </c>
      <c r="G10" s="209"/>
      <c r="H10" s="209"/>
    </row>
    <row r="11" spans="1:8" ht="12.75">
      <c r="A11" s="206" t="s">
        <v>255</v>
      </c>
      <c r="B11" s="207">
        <v>13244942.58</v>
      </c>
      <c r="C11" s="207">
        <f t="shared" si="0"/>
        <v>11224527.610169493</v>
      </c>
      <c r="D11" s="197">
        <f t="shared" si="1"/>
        <v>11.90578877488109</v>
      </c>
      <c r="E11" s="197">
        <f t="shared" si="2"/>
        <v>905165.9452463023</v>
      </c>
      <c r="F11" s="208">
        <f t="shared" si="3"/>
        <v>19256.2203660835</v>
      </c>
      <c r="G11" s="209"/>
      <c r="H11" s="209"/>
    </row>
    <row r="12" spans="1:8" ht="12.75">
      <c r="A12" s="206" t="s">
        <v>256</v>
      </c>
      <c r="B12" s="207">
        <v>1251654.67</v>
      </c>
      <c r="C12" s="207">
        <f t="shared" si="0"/>
        <v>1060724.2966101696</v>
      </c>
      <c r="D12" s="197">
        <f t="shared" si="1"/>
        <v>1.1251038673897744</v>
      </c>
      <c r="E12" s="197">
        <f t="shared" si="2"/>
        <v>85538.70095316779</v>
      </c>
      <c r="F12" s="208">
        <f t="shared" si="3"/>
        <v>1819.7238683504754</v>
      </c>
      <c r="G12" s="209"/>
      <c r="H12" s="209"/>
    </row>
    <row r="13" spans="1:8" ht="12.75">
      <c r="A13" s="206" t="s">
        <v>257</v>
      </c>
      <c r="B13" s="207">
        <v>38655634.91</v>
      </c>
      <c r="C13" s="207">
        <f t="shared" si="0"/>
        <v>32759012.63559322</v>
      </c>
      <c r="D13" s="197">
        <f t="shared" si="1"/>
        <v>34.747287231907315</v>
      </c>
      <c r="E13" s="197">
        <f t="shared" si="2"/>
        <v>2641745.2624702966</v>
      </c>
      <c r="F13" s="208">
        <f t="shared" si="3"/>
        <v>56199.671665003945</v>
      </c>
      <c r="G13" s="209"/>
      <c r="H13" s="209"/>
    </row>
    <row r="14" spans="1:8" ht="12.75">
      <c r="A14" s="206" t="s">
        <v>258</v>
      </c>
      <c r="B14" s="207">
        <v>7353811.59</v>
      </c>
      <c r="C14" s="207">
        <f t="shared" si="0"/>
        <v>6232043.720338983</v>
      </c>
      <c r="D14" s="197">
        <f t="shared" si="1"/>
        <v>6.610291207529906</v>
      </c>
      <c r="E14" s="197">
        <f t="shared" si="2"/>
        <v>502563.1314609719</v>
      </c>
      <c r="F14" s="208">
        <f t="shared" si="3"/>
        <v>10691.372624108342</v>
      </c>
      <c r="G14" s="209"/>
      <c r="H14" s="209"/>
    </row>
    <row r="15" spans="1:8" ht="12.75">
      <c r="A15" s="206" t="s">
        <v>259</v>
      </c>
      <c r="B15" s="207">
        <v>12281094.4</v>
      </c>
      <c r="C15" s="207">
        <f t="shared" si="0"/>
        <v>10407707.118644068</v>
      </c>
      <c r="D15" s="197">
        <f t="shared" si="1"/>
        <v>11.039392203297496</v>
      </c>
      <c r="E15" s="197">
        <f t="shared" si="2"/>
        <v>839296.0825682244</v>
      </c>
      <c r="F15" s="208">
        <f t="shared" si="3"/>
        <v>17854.925279945914</v>
      </c>
      <c r="G15" s="209"/>
      <c r="H15" s="209"/>
    </row>
    <row r="16" spans="1:8" ht="12.75">
      <c r="A16" s="206" t="s">
        <v>260</v>
      </c>
      <c r="B16" s="207">
        <v>1065118.41</v>
      </c>
      <c r="C16" s="207">
        <f t="shared" si="0"/>
        <v>902642.720338983</v>
      </c>
      <c r="D16" s="197">
        <f t="shared" si="1"/>
        <v>0.9574276923514751</v>
      </c>
      <c r="E16" s="197">
        <f t="shared" si="2"/>
        <v>72790.72042507022</v>
      </c>
      <c r="F16" s="208">
        <f t="shared" si="3"/>
        <v>1548.5272733385057</v>
      </c>
      <c r="G16" s="209"/>
      <c r="H16" s="209"/>
    </row>
    <row r="17" spans="1:8" s="98" customFormat="1" ht="12.75" customHeight="1">
      <c r="A17" s="206" t="s">
        <v>261</v>
      </c>
      <c r="B17" s="207">
        <v>12744453.32</v>
      </c>
      <c r="C17" s="207">
        <f t="shared" si="0"/>
        <v>10800384.169491526</v>
      </c>
      <c r="D17" s="197">
        <f t="shared" si="1"/>
        <v>11.455902384082062</v>
      </c>
      <c r="E17" s="197">
        <f t="shared" si="2"/>
        <v>870962.2609813665</v>
      </c>
      <c r="F17" s="208">
        <f t="shared" si="3"/>
        <v>18528.581765673796</v>
      </c>
      <c r="G17" s="209"/>
      <c r="H17" s="210"/>
    </row>
    <row r="18" spans="1:8" ht="12.75">
      <c r="A18" s="211" t="s">
        <v>262</v>
      </c>
      <c r="B18" s="212">
        <v>38357.58</v>
      </c>
      <c r="C18" s="212">
        <f t="shared" si="0"/>
        <v>32506.423728813563</v>
      </c>
      <c r="D18" s="213">
        <f t="shared" si="1"/>
        <v>0.03447936770108696</v>
      </c>
      <c r="E18" s="213">
        <f t="shared" si="2"/>
        <v>2621.376042089317</v>
      </c>
      <c r="F18" s="214">
        <f t="shared" si="3"/>
        <v>55.76634317048713</v>
      </c>
      <c r="G18" s="218">
        <f>E18/C18</f>
        <v>0.08064178526553013</v>
      </c>
      <c r="H18" s="218">
        <f>F18/C18</f>
        <v>0.0017155483985479482</v>
      </c>
    </row>
    <row r="19" spans="1:8" ht="12.75">
      <c r="A19" s="206" t="s">
        <v>263</v>
      </c>
      <c r="B19" s="207">
        <v>3391183.85</v>
      </c>
      <c r="C19" s="207">
        <f t="shared" si="0"/>
        <v>2873884.618644068</v>
      </c>
      <c r="D19" s="197">
        <f t="shared" si="1"/>
        <v>3.048312091277337</v>
      </c>
      <c r="E19" s="197">
        <f t="shared" si="2"/>
        <v>231755.1862946049</v>
      </c>
      <c r="F19" s="208">
        <f t="shared" si="3"/>
        <v>4930.288155126413</v>
      </c>
      <c r="G19" s="209"/>
      <c r="H19" s="209"/>
    </row>
    <row r="20" spans="1:8" ht="12.75">
      <c r="A20" s="206" t="s">
        <v>264</v>
      </c>
      <c r="B20" s="207">
        <v>1252335.99</v>
      </c>
      <c r="C20" s="207">
        <f t="shared" si="0"/>
        <v>1061301.686440678</v>
      </c>
      <c r="D20" s="197">
        <f t="shared" si="1"/>
        <v>1.1257163013025004</v>
      </c>
      <c r="E20" s="197">
        <f t="shared" si="2"/>
        <v>85585.26269989416</v>
      </c>
      <c r="F20" s="208">
        <f t="shared" si="3"/>
        <v>1820.7144085495418</v>
      </c>
      <c r="G20" s="209"/>
      <c r="H20" s="209"/>
    </row>
    <row r="21" spans="1:10" s="98" customFormat="1" ht="12.75">
      <c r="A21" s="206" t="s">
        <v>265</v>
      </c>
      <c r="B21" s="207">
        <v>899829.28</v>
      </c>
      <c r="C21" s="207">
        <f t="shared" si="0"/>
        <v>762567.1864406781</v>
      </c>
      <c r="D21" s="197">
        <f t="shared" si="1"/>
        <v>0.8088504179180318</v>
      </c>
      <c r="E21" s="197">
        <f>D21*$E$22/100</f>
        <v>61494.77929948865</v>
      </c>
      <c r="F21" s="208">
        <f>D21*$F$22/100</f>
        <v>1308.22091548352</v>
      </c>
      <c r="G21" s="210"/>
      <c r="H21" s="209"/>
      <c r="I21" s="66"/>
      <c r="J21" s="66"/>
    </row>
    <row r="22" spans="1:10" ht="12.75">
      <c r="A22" s="215" t="s">
        <v>190</v>
      </c>
      <c r="B22" s="216">
        <f>SUM(B8:B21)</f>
        <v>111247921.75</v>
      </c>
      <c r="C22" s="216">
        <f>SUM(C8:C21)</f>
        <v>94277899.7881356</v>
      </c>
      <c r="D22" s="217">
        <v>100</v>
      </c>
      <c r="E22" s="216">
        <v>7602738.15</v>
      </c>
      <c r="F22" s="216">
        <v>161738.3</v>
      </c>
      <c r="G22" s="217"/>
      <c r="H22" s="217"/>
      <c r="I22" s="98"/>
      <c r="J22" s="98"/>
    </row>
    <row r="28" spans="1:5" ht="12.75">
      <c r="A28" s="290" t="s">
        <v>266</v>
      </c>
      <c r="B28" s="290"/>
      <c r="C28" s="290"/>
      <c r="D28" s="291"/>
      <c r="E28" s="291"/>
    </row>
  </sheetData>
  <sheetProtection/>
  <mergeCells count="1">
    <mergeCell ref="A28:E28"/>
  </mergeCells>
  <printOptions/>
  <pageMargins left="0.46" right="0.19" top="0.7480314960629921" bottom="0.19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19.8515625" style="0" customWidth="1"/>
    <col min="3" max="3" width="11.57421875" style="0" customWidth="1"/>
    <col min="4" max="4" width="13.140625" style="0" customWidth="1"/>
    <col min="5" max="5" width="15.421875" style="0" customWidth="1"/>
    <col min="6" max="6" width="15.7109375" style="0" customWidth="1"/>
  </cols>
  <sheetData>
    <row r="2" ht="12.75">
      <c r="A2" t="s">
        <v>278</v>
      </c>
    </row>
    <row r="3" ht="12.75">
      <c r="A3" t="s">
        <v>279</v>
      </c>
    </row>
    <row r="4" ht="12.75">
      <c r="A4" t="s">
        <v>280</v>
      </c>
    </row>
    <row r="5" spans="1:6" ht="228.75" customHeight="1">
      <c r="A5" s="224" t="s">
        <v>8</v>
      </c>
      <c r="B5" s="224" t="s">
        <v>281</v>
      </c>
      <c r="C5" s="67" t="s">
        <v>282</v>
      </c>
      <c r="D5" s="67" t="s">
        <v>283</v>
      </c>
      <c r="E5" s="224" t="s">
        <v>284</v>
      </c>
      <c r="F5" s="224" t="s">
        <v>285</v>
      </c>
    </row>
    <row r="6" spans="1:6" ht="65.25" customHeight="1">
      <c r="A6" s="225" t="s">
        <v>286</v>
      </c>
      <c r="B6" s="224" t="s">
        <v>287</v>
      </c>
      <c r="C6" s="225"/>
      <c r="D6" s="225"/>
      <c r="E6" s="225"/>
      <c r="F6" s="225"/>
    </row>
    <row r="7" spans="1:6" ht="65.25" customHeight="1">
      <c r="A7" s="225" t="s">
        <v>288</v>
      </c>
      <c r="B7" s="224" t="s">
        <v>289</v>
      </c>
      <c r="C7" s="228">
        <f>36+38</f>
        <v>74</v>
      </c>
      <c r="D7" s="228">
        <v>42</v>
      </c>
      <c r="E7" s="228">
        <f>370+360</f>
        <v>730</v>
      </c>
      <c r="F7" s="228">
        <v>360</v>
      </c>
    </row>
    <row r="8" spans="1:6" ht="65.25" customHeight="1">
      <c r="A8" s="225" t="s">
        <v>290</v>
      </c>
      <c r="B8" s="224" t="s">
        <v>291</v>
      </c>
      <c r="C8" s="228">
        <v>11</v>
      </c>
      <c r="D8" s="228">
        <v>2</v>
      </c>
      <c r="E8" s="228" t="s">
        <v>292</v>
      </c>
      <c r="F8" s="228">
        <v>75</v>
      </c>
    </row>
    <row r="9" spans="1:6" ht="12.75">
      <c r="A9" s="226" t="s">
        <v>293</v>
      </c>
      <c r="B9" s="227" t="s">
        <v>294</v>
      </c>
      <c r="C9" s="229" t="s">
        <v>295</v>
      </c>
      <c r="D9" s="229">
        <v>1</v>
      </c>
      <c r="E9" s="229" t="s">
        <v>295</v>
      </c>
      <c r="F9" s="229" t="s">
        <v>296</v>
      </c>
    </row>
    <row r="11" ht="12.75">
      <c r="A11" s="66" t="s">
        <v>297</v>
      </c>
    </row>
    <row r="15" spans="2:6" ht="15.75">
      <c r="B15" s="261" t="s">
        <v>240</v>
      </c>
      <c r="C15" s="261"/>
      <c r="D15" s="262"/>
      <c r="E15" s="289"/>
      <c r="F15" s="289"/>
    </row>
  </sheetData>
  <sheetProtection/>
  <mergeCells count="1">
    <mergeCell ref="B15:F15"/>
  </mergeCells>
  <printOptions/>
  <pageMargins left="0.37" right="0.17" top="0.58" bottom="0.33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5" sqref="D45"/>
    </sheetView>
  </sheetViews>
  <sheetFormatPr defaultColWidth="9.140625" defaultRowHeight="12.75" outlineLevelRow="2" outlineLevelCol="1"/>
  <cols>
    <col min="1" max="1" width="7.140625" style="65" customWidth="1"/>
    <col min="2" max="2" width="81.8515625" style="65" customWidth="1"/>
    <col min="3" max="3" width="14.28125" style="65" customWidth="1" outlineLevel="1"/>
    <col min="4" max="4" width="19.00390625" style="65" customWidth="1"/>
    <col min="5" max="5" width="14.28125" style="65" customWidth="1"/>
    <col min="6" max="6" width="16.7109375" style="78" customWidth="1"/>
    <col min="7" max="7" width="12.421875" style="66" hidden="1" customWidth="1"/>
    <col min="8" max="8" width="6.421875" style="66" customWidth="1"/>
    <col min="9" max="9" width="11.421875" style="66" customWidth="1"/>
    <col min="10" max="10" width="9.8515625" style="66" customWidth="1"/>
    <col min="11" max="11" width="9.140625" style="66" customWidth="1"/>
    <col min="12" max="12" width="16.140625" style="66" bestFit="1" customWidth="1"/>
    <col min="13" max="16384" width="9.140625" style="66" customWidth="1"/>
  </cols>
  <sheetData>
    <row r="1" spans="1:10" ht="12.75">
      <c r="A1" s="79"/>
      <c r="B1" s="79"/>
      <c r="C1" s="79"/>
      <c r="D1" s="79"/>
      <c r="E1" s="79"/>
      <c r="F1" s="80"/>
      <c r="G1" s="21"/>
      <c r="H1" s="21"/>
      <c r="I1" s="21"/>
      <c r="J1" s="21"/>
    </row>
    <row r="2" spans="1:10" ht="66" customHeight="1">
      <c r="A2" s="271" t="s">
        <v>228</v>
      </c>
      <c r="B2" s="271"/>
      <c r="C2" s="271"/>
      <c r="D2" s="272"/>
      <c r="E2" s="272"/>
      <c r="F2" s="272"/>
      <c r="G2" s="21"/>
      <c r="H2" s="21"/>
      <c r="I2" s="21"/>
      <c r="J2" s="21"/>
    </row>
    <row r="3" spans="1:12" s="68" customFormat="1" ht="76.5" customHeight="1">
      <c r="A3" s="87" t="s">
        <v>49</v>
      </c>
      <c r="B3" s="87" t="s">
        <v>50</v>
      </c>
      <c r="C3" s="88" t="s">
        <v>51</v>
      </c>
      <c r="D3" s="67" t="s">
        <v>52</v>
      </c>
      <c r="E3" s="67" t="s">
        <v>53</v>
      </c>
      <c r="F3" s="67" t="s">
        <v>54</v>
      </c>
      <c r="G3" s="89" t="s">
        <v>55</v>
      </c>
      <c r="H3" s="90"/>
      <c r="I3" s="81">
        <v>28</v>
      </c>
      <c r="J3" s="81">
        <v>400</v>
      </c>
      <c r="K3" s="66"/>
      <c r="L3" s="193">
        <f>D5-466.1*I3</f>
        <v>116101.98250786637</v>
      </c>
    </row>
    <row r="4" spans="1:11" s="68" customFormat="1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91">
        <v>6</v>
      </c>
      <c r="G4" s="21"/>
      <c r="H4" s="92"/>
      <c r="I4" s="81" t="s">
        <v>56</v>
      </c>
      <c r="J4" s="81" t="s">
        <v>57</v>
      </c>
      <c r="K4" s="66"/>
    </row>
    <row r="5" spans="1:11" s="69" customFormat="1" ht="15.75" outlineLevel="1">
      <c r="A5" s="93"/>
      <c r="B5" s="94" t="s">
        <v>58</v>
      </c>
      <c r="C5" s="147">
        <f>SUM(C6,C13,C14,C20,C27,C36)</f>
        <v>4612.599375280942</v>
      </c>
      <c r="D5" s="147">
        <f>D6+D20+D27+D36</f>
        <v>129152.78250786637</v>
      </c>
      <c r="E5" s="147">
        <f>J3</f>
        <v>400</v>
      </c>
      <c r="F5" s="147">
        <f>SUM(F6,F13,F14,F20,F27,F36)</f>
        <v>322.88195626966586</v>
      </c>
      <c r="G5" s="95"/>
      <c r="H5" s="96"/>
      <c r="I5" s="97"/>
      <c r="J5" s="22">
        <f>J3/I3</f>
        <v>14.285714285714286</v>
      </c>
      <c r="K5" s="98"/>
    </row>
    <row r="6" spans="1:11" s="68" customFormat="1" ht="21" customHeight="1">
      <c r="A6" s="93" t="s">
        <v>0</v>
      </c>
      <c r="B6" s="94" t="s">
        <v>59</v>
      </c>
      <c r="C6" s="147">
        <f>SUM(C7:C12)</f>
        <v>2428.311964176786</v>
      </c>
      <c r="D6" s="147">
        <f>SUM(D7:D12)</f>
        <v>67992.73499695002</v>
      </c>
      <c r="E6" s="147">
        <f>$J$3</f>
        <v>400</v>
      </c>
      <c r="F6" s="147">
        <f>SUM(F7:F12)</f>
        <v>169.981837492375</v>
      </c>
      <c r="G6" s="100" t="e">
        <f>SUM(G7:G10)</f>
        <v>#REF!</v>
      </c>
      <c r="H6" s="101"/>
      <c r="I6" s="21"/>
      <c r="J6" s="21"/>
      <c r="K6" s="66"/>
    </row>
    <row r="7" spans="1:10" ht="12.75" outlineLevel="1">
      <c r="A7" s="82" t="s">
        <v>60</v>
      </c>
      <c r="B7" s="83" t="s">
        <v>61</v>
      </c>
      <c r="C7" s="148">
        <f>'Расшифровка затрат'!G16</f>
        <v>1313.2960730593604</v>
      </c>
      <c r="D7" s="148">
        <f>C7*$I$3</f>
        <v>36772.29004566209</v>
      </c>
      <c r="E7" s="148">
        <f aca="true" t="shared" si="0" ref="E7:E42">$J$3</f>
        <v>400</v>
      </c>
      <c r="F7" s="102">
        <f aca="true" t="shared" si="1" ref="F7:F12">D7/E7</f>
        <v>91.93072511415522</v>
      </c>
      <c r="G7" s="84" t="e">
        <f>C7/#REF!</f>
        <v>#REF!</v>
      </c>
      <c r="H7" s="101"/>
      <c r="I7" s="85"/>
      <c r="J7" s="21"/>
    </row>
    <row r="8" spans="1:10" ht="12.75" outlineLevel="1">
      <c r="A8" s="82" t="s">
        <v>62</v>
      </c>
      <c r="B8" s="83" t="s">
        <v>7</v>
      </c>
      <c r="C8" s="148">
        <f>'Расшифровка затрат'!G17</f>
        <v>399.24200621004553</v>
      </c>
      <c r="D8" s="148">
        <f aca="true" t="shared" si="2" ref="D8:D42">C8*$I$3</f>
        <v>11178.776173881275</v>
      </c>
      <c r="E8" s="148">
        <f t="shared" si="0"/>
        <v>400</v>
      </c>
      <c r="F8" s="102">
        <f t="shared" si="1"/>
        <v>27.946940434703187</v>
      </c>
      <c r="G8" s="84"/>
      <c r="H8" s="101"/>
      <c r="I8" s="85"/>
      <c r="J8" s="21"/>
    </row>
    <row r="9" spans="1:10" ht="12.75" outlineLevel="1">
      <c r="A9" s="82" t="s">
        <v>63</v>
      </c>
      <c r="B9" s="86" t="s">
        <v>4</v>
      </c>
      <c r="C9" s="148">
        <f>'Расшифровка затрат'!O20</f>
        <v>0</v>
      </c>
      <c r="D9" s="148">
        <f>C9*$I$3</f>
        <v>0</v>
      </c>
      <c r="E9" s="148">
        <f t="shared" si="0"/>
        <v>400</v>
      </c>
      <c r="F9" s="102">
        <f t="shared" si="1"/>
        <v>0</v>
      </c>
      <c r="G9" s="84" t="e">
        <f>C9/#REF!</f>
        <v>#REF!</v>
      </c>
      <c r="H9" s="101"/>
      <c r="I9" s="85"/>
      <c r="J9" s="21"/>
    </row>
    <row r="10" spans="1:10" ht="12.75" outlineLevel="1">
      <c r="A10" s="82" t="s">
        <v>64</v>
      </c>
      <c r="B10" s="86" t="s">
        <v>19</v>
      </c>
      <c r="C10" s="148">
        <f>'Расшифровка затрат'!K20</f>
        <v>515.7845862331998</v>
      </c>
      <c r="D10" s="148">
        <f t="shared" si="2"/>
        <v>14441.968414529594</v>
      </c>
      <c r="E10" s="148">
        <f t="shared" si="0"/>
        <v>400</v>
      </c>
      <c r="F10" s="102">
        <f t="shared" si="1"/>
        <v>36.10492103632399</v>
      </c>
      <c r="G10" s="84" t="e">
        <f>C10/#REF!</f>
        <v>#REF!</v>
      </c>
      <c r="H10" s="101"/>
      <c r="I10" s="85"/>
      <c r="J10" s="21"/>
    </row>
    <row r="11" spans="1:10" ht="12.75" outlineLevel="1">
      <c r="A11" s="82" t="s">
        <v>14</v>
      </c>
      <c r="B11" s="86" t="s">
        <v>95</v>
      </c>
      <c r="C11" s="148">
        <f>'Расшифровка затрат'!P18</f>
        <v>195.82341197286212</v>
      </c>
      <c r="D11" s="148">
        <f t="shared" si="2"/>
        <v>5483.055535240139</v>
      </c>
      <c r="E11" s="148">
        <f t="shared" si="0"/>
        <v>400</v>
      </c>
      <c r="F11" s="102">
        <f t="shared" si="1"/>
        <v>13.707638838100348</v>
      </c>
      <c r="G11" s="84"/>
      <c r="H11" s="101"/>
      <c r="I11" s="85"/>
      <c r="J11" s="21"/>
    </row>
    <row r="12" spans="1:10" ht="12.75" outlineLevel="1">
      <c r="A12" s="82" t="s">
        <v>65</v>
      </c>
      <c r="B12" s="86" t="s">
        <v>96</v>
      </c>
      <c r="C12" s="148">
        <f>'Расшифровка затрат'!P19</f>
        <v>4.165886701318309</v>
      </c>
      <c r="D12" s="148">
        <f t="shared" si="2"/>
        <v>116.64482763691265</v>
      </c>
      <c r="E12" s="148">
        <f t="shared" si="0"/>
        <v>400</v>
      </c>
      <c r="F12" s="102">
        <f t="shared" si="1"/>
        <v>0.29161206909228166</v>
      </c>
      <c r="G12" s="84"/>
      <c r="H12" s="101"/>
      <c r="I12" s="85"/>
      <c r="J12" s="21"/>
    </row>
    <row r="13" spans="1:11" s="68" customFormat="1" ht="30" customHeight="1">
      <c r="A13" s="87" t="s">
        <v>1</v>
      </c>
      <c r="B13" s="99" t="s">
        <v>68</v>
      </c>
      <c r="C13" s="148">
        <v>0</v>
      </c>
      <c r="D13" s="148">
        <v>0</v>
      </c>
      <c r="E13" s="148">
        <v>0</v>
      </c>
      <c r="F13" s="148">
        <v>0</v>
      </c>
      <c r="G13" s="103"/>
      <c r="H13" s="101"/>
      <c r="I13" s="85"/>
      <c r="J13" s="21"/>
      <c r="K13" s="66"/>
    </row>
    <row r="14" spans="1:11" s="68" customFormat="1" ht="24" customHeight="1">
      <c r="A14" s="87" t="s">
        <v>2</v>
      </c>
      <c r="B14" s="99" t="s">
        <v>69</v>
      </c>
      <c r="C14" s="148" t="s">
        <v>70</v>
      </c>
      <c r="D14" s="148" t="s">
        <v>70</v>
      </c>
      <c r="E14" s="148" t="s">
        <v>70</v>
      </c>
      <c r="F14" s="148" t="s">
        <v>70</v>
      </c>
      <c r="G14" s="103" t="e">
        <f>SUM(#REF!)</f>
        <v>#REF!</v>
      </c>
      <c r="H14" s="101"/>
      <c r="I14" s="85"/>
      <c r="J14" s="104"/>
      <c r="K14" s="66"/>
    </row>
    <row r="15" spans="1:11" s="68" customFormat="1" ht="16.5" customHeight="1">
      <c r="A15" s="87" t="s">
        <v>71</v>
      </c>
      <c r="B15" s="99" t="s">
        <v>72</v>
      </c>
      <c r="C15" s="148"/>
      <c r="D15" s="148"/>
      <c r="E15" s="148">
        <v>0</v>
      </c>
      <c r="F15" s="148">
        <v>0</v>
      </c>
      <c r="G15" s="103"/>
      <c r="H15" s="101"/>
      <c r="I15" s="85"/>
      <c r="J15" s="104"/>
      <c r="K15" s="66"/>
    </row>
    <row r="16" spans="1:11" s="68" customFormat="1" ht="15">
      <c r="A16" s="87" t="s">
        <v>73</v>
      </c>
      <c r="B16" s="99" t="s">
        <v>74</v>
      </c>
      <c r="C16" s="148"/>
      <c r="D16" s="148">
        <v>0</v>
      </c>
      <c r="E16" s="148">
        <v>0</v>
      </c>
      <c r="F16" s="148">
        <v>0</v>
      </c>
      <c r="G16" s="103"/>
      <c r="H16" s="101"/>
      <c r="I16" s="85"/>
      <c r="J16" s="104"/>
      <c r="K16" s="66"/>
    </row>
    <row r="17" spans="1:11" s="68" customFormat="1" ht="15">
      <c r="A17" s="87" t="s">
        <v>75</v>
      </c>
      <c r="B17" s="99" t="s">
        <v>76</v>
      </c>
      <c r="C17" s="148"/>
      <c r="D17" s="148">
        <v>0</v>
      </c>
      <c r="E17" s="148">
        <v>0</v>
      </c>
      <c r="F17" s="148">
        <v>0</v>
      </c>
      <c r="G17" s="103"/>
      <c r="H17" s="101"/>
      <c r="I17" s="85"/>
      <c r="J17" s="104"/>
      <c r="K17" s="66"/>
    </row>
    <row r="18" spans="1:11" s="68" customFormat="1" ht="52.5" customHeight="1">
      <c r="A18" s="87" t="s">
        <v>77</v>
      </c>
      <c r="B18" s="99" t="s">
        <v>78</v>
      </c>
      <c r="C18" s="148"/>
      <c r="D18" s="148"/>
      <c r="E18" s="148">
        <v>0</v>
      </c>
      <c r="F18" s="148">
        <v>0</v>
      </c>
      <c r="G18" s="103"/>
      <c r="H18" s="101"/>
      <c r="I18" s="85"/>
      <c r="J18" s="104"/>
      <c r="K18" s="66"/>
    </row>
    <row r="19" spans="1:11" s="68" customFormat="1" ht="29.25" customHeight="1">
      <c r="A19" s="87" t="s">
        <v>79</v>
      </c>
      <c r="B19" s="99" t="s">
        <v>80</v>
      </c>
      <c r="C19" s="148"/>
      <c r="D19" s="148">
        <v>0</v>
      </c>
      <c r="E19" s="148">
        <v>0</v>
      </c>
      <c r="F19" s="148">
        <v>0</v>
      </c>
      <c r="G19" s="103"/>
      <c r="H19" s="101"/>
      <c r="I19" s="85"/>
      <c r="J19" s="104"/>
      <c r="K19" s="66"/>
    </row>
    <row r="20" spans="1:11" s="68" customFormat="1" ht="19.5" customHeight="1">
      <c r="A20" s="93" t="s">
        <v>3</v>
      </c>
      <c r="B20" s="94" t="s">
        <v>81</v>
      </c>
      <c r="C20" s="147">
        <f>SUM(C21:C26)</f>
        <v>0</v>
      </c>
      <c r="D20" s="147">
        <f>SUM(D21:D26)</f>
        <v>0</v>
      </c>
      <c r="E20" s="147">
        <f t="shared" si="0"/>
        <v>400</v>
      </c>
      <c r="F20" s="147">
        <f>SUM(F21:F26)</f>
        <v>0</v>
      </c>
      <c r="G20" s="84" t="e">
        <f>C20/#REF!</f>
        <v>#REF!</v>
      </c>
      <c r="H20" s="101"/>
      <c r="I20" s="85"/>
      <c r="J20" s="21"/>
      <c r="K20" s="66"/>
    </row>
    <row r="21" spans="1:10" ht="12.75" outlineLevel="1">
      <c r="A21" s="82" t="s">
        <v>11</v>
      </c>
      <c r="B21" s="83" t="s">
        <v>61</v>
      </c>
      <c r="C21" s="148">
        <v>0</v>
      </c>
      <c r="D21" s="148">
        <f t="shared" si="2"/>
        <v>0</v>
      </c>
      <c r="E21" s="148">
        <f t="shared" si="0"/>
        <v>400</v>
      </c>
      <c r="F21" s="102">
        <f aca="true" t="shared" si="3" ref="F21:F26">D21/E21</f>
        <v>0</v>
      </c>
      <c r="G21" s="84"/>
      <c r="H21" s="101"/>
      <c r="I21" s="85"/>
      <c r="J21" s="21"/>
    </row>
    <row r="22" spans="1:10" ht="12.75" outlineLevel="1">
      <c r="A22" s="82" t="s">
        <v>12</v>
      </c>
      <c r="B22" s="83" t="s">
        <v>7</v>
      </c>
      <c r="C22" s="148">
        <v>0</v>
      </c>
      <c r="D22" s="148">
        <f t="shared" si="2"/>
        <v>0</v>
      </c>
      <c r="E22" s="148">
        <f t="shared" si="0"/>
        <v>400</v>
      </c>
      <c r="F22" s="102">
        <f t="shared" si="3"/>
        <v>0</v>
      </c>
      <c r="G22" s="84"/>
      <c r="H22" s="101"/>
      <c r="I22" s="85"/>
      <c r="J22" s="21"/>
    </row>
    <row r="23" spans="1:10" ht="12.75" outlineLevel="1">
      <c r="A23" s="82" t="s">
        <v>13</v>
      </c>
      <c r="B23" s="86" t="s">
        <v>4</v>
      </c>
      <c r="C23" s="148">
        <v>0</v>
      </c>
      <c r="D23" s="148">
        <f t="shared" si="2"/>
        <v>0</v>
      </c>
      <c r="E23" s="148">
        <f t="shared" si="0"/>
        <v>400</v>
      </c>
      <c r="F23" s="102">
        <f t="shared" si="3"/>
        <v>0</v>
      </c>
      <c r="G23" s="84"/>
      <c r="H23" s="101"/>
      <c r="I23" s="85"/>
      <c r="J23" s="21"/>
    </row>
    <row r="24" spans="1:10" ht="12.75" outlineLevel="1">
      <c r="A24" s="82" t="s">
        <v>82</v>
      </c>
      <c r="B24" s="86" t="s">
        <v>19</v>
      </c>
      <c r="C24" s="148">
        <v>0</v>
      </c>
      <c r="D24" s="148">
        <f t="shared" si="2"/>
        <v>0</v>
      </c>
      <c r="E24" s="148">
        <f t="shared" si="0"/>
        <v>400</v>
      </c>
      <c r="F24" s="102">
        <f t="shared" si="3"/>
        <v>0</v>
      </c>
      <c r="G24" s="84"/>
      <c r="H24" s="101"/>
      <c r="I24" s="85"/>
      <c r="J24" s="21"/>
    </row>
    <row r="25" spans="1:10" ht="12.75" outlineLevel="1">
      <c r="A25" s="82" t="s">
        <v>83</v>
      </c>
      <c r="B25" s="86" t="s">
        <v>95</v>
      </c>
      <c r="C25" s="148">
        <v>0</v>
      </c>
      <c r="D25" s="148">
        <f t="shared" si="2"/>
        <v>0</v>
      </c>
      <c r="E25" s="148">
        <f t="shared" si="0"/>
        <v>400</v>
      </c>
      <c r="F25" s="102">
        <f t="shared" si="3"/>
        <v>0</v>
      </c>
      <c r="G25" s="84"/>
      <c r="H25" s="101"/>
      <c r="I25" s="85"/>
      <c r="J25" s="21"/>
    </row>
    <row r="26" spans="1:10" ht="12.75" outlineLevel="1">
      <c r="A26" s="82" t="s">
        <v>84</v>
      </c>
      <c r="B26" s="86" t="s">
        <v>96</v>
      </c>
      <c r="C26" s="148">
        <v>0</v>
      </c>
      <c r="D26" s="148">
        <f t="shared" si="2"/>
        <v>0</v>
      </c>
      <c r="E26" s="148">
        <f t="shared" si="0"/>
        <v>400</v>
      </c>
      <c r="F26" s="102">
        <f t="shared" si="3"/>
        <v>0</v>
      </c>
      <c r="G26" s="84"/>
      <c r="H26" s="101"/>
      <c r="I26" s="85"/>
      <c r="J26" s="21"/>
    </row>
    <row r="27" spans="1:11" s="68" customFormat="1" ht="27.75" customHeight="1">
      <c r="A27" s="93" t="s">
        <v>10</v>
      </c>
      <c r="B27" s="94" t="s">
        <v>85</v>
      </c>
      <c r="C27" s="147">
        <f>SUM(C28:C35)</f>
        <v>0</v>
      </c>
      <c r="D27" s="147">
        <f>SUM(D28:D35)</f>
        <v>0</v>
      </c>
      <c r="E27" s="147">
        <f t="shared" si="0"/>
        <v>400</v>
      </c>
      <c r="F27" s="147">
        <f>SUM(F28:F35)</f>
        <v>0</v>
      </c>
      <c r="G27" s="84" t="e">
        <f>C27/#REF!</f>
        <v>#REF!</v>
      </c>
      <c r="H27" s="101"/>
      <c r="I27" s="85"/>
      <c r="J27" s="21"/>
      <c r="K27" s="66"/>
    </row>
    <row r="28" spans="1:10" ht="12.75" outlineLevel="1">
      <c r="A28" s="82" t="s">
        <v>33</v>
      </c>
      <c r="B28" s="83" t="s">
        <v>61</v>
      </c>
      <c r="C28" s="148">
        <v>0</v>
      </c>
      <c r="D28" s="148">
        <f>C28*$I$3</f>
        <v>0</v>
      </c>
      <c r="E28" s="148">
        <f t="shared" si="0"/>
        <v>400</v>
      </c>
      <c r="F28" s="102">
        <f>D28/E28</f>
        <v>0</v>
      </c>
      <c r="G28" s="84"/>
      <c r="H28" s="101"/>
      <c r="I28" s="85"/>
      <c r="J28" s="21"/>
    </row>
    <row r="29" spans="1:10" ht="12.75" outlineLevel="1">
      <c r="A29" s="82" t="s">
        <v>34</v>
      </c>
      <c r="B29" s="83" t="s">
        <v>7</v>
      </c>
      <c r="C29" s="148">
        <v>0</v>
      </c>
      <c r="D29" s="148">
        <f t="shared" si="2"/>
        <v>0</v>
      </c>
      <c r="E29" s="148">
        <f t="shared" si="0"/>
        <v>400</v>
      </c>
      <c r="F29" s="102">
        <f aca="true" t="shared" si="4" ref="F29:F35">D29/E29</f>
        <v>0</v>
      </c>
      <c r="G29" s="84"/>
      <c r="H29" s="101"/>
      <c r="I29" s="85"/>
      <c r="J29" s="21"/>
    </row>
    <row r="30" spans="1:10" ht="12.75" outlineLevel="1">
      <c r="A30" s="82" t="s">
        <v>35</v>
      </c>
      <c r="B30" s="86" t="s">
        <v>4</v>
      </c>
      <c r="C30" s="148">
        <v>0</v>
      </c>
      <c r="D30" s="148">
        <f t="shared" si="2"/>
        <v>0</v>
      </c>
      <c r="E30" s="148">
        <f t="shared" si="0"/>
        <v>400</v>
      </c>
      <c r="F30" s="102">
        <f t="shared" si="4"/>
        <v>0</v>
      </c>
      <c r="G30" s="84"/>
      <c r="H30" s="101"/>
      <c r="I30" s="85"/>
      <c r="J30" s="21"/>
    </row>
    <row r="31" spans="1:10" ht="12.75" outlineLevel="1">
      <c r="A31" s="82" t="s">
        <v>86</v>
      </c>
      <c r="B31" s="86" t="s">
        <v>19</v>
      </c>
      <c r="C31" s="148">
        <v>0</v>
      </c>
      <c r="D31" s="148">
        <f t="shared" si="2"/>
        <v>0</v>
      </c>
      <c r="E31" s="148">
        <f t="shared" si="0"/>
        <v>400</v>
      </c>
      <c r="F31" s="102">
        <f t="shared" si="4"/>
        <v>0</v>
      </c>
      <c r="G31" s="84"/>
      <c r="H31" s="101"/>
      <c r="I31" s="85"/>
      <c r="J31" s="21"/>
    </row>
    <row r="32" spans="1:10" ht="12.75" outlineLevel="1">
      <c r="A32" s="82" t="s">
        <v>87</v>
      </c>
      <c r="B32" s="86" t="s">
        <v>95</v>
      </c>
      <c r="C32" s="148">
        <v>0</v>
      </c>
      <c r="D32" s="148">
        <f t="shared" si="2"/>
        <v>0</v>
      </c>
      <c r="E32" s="148">
        <f t="shared" si="0"/>
        <v>400</v>
      </c>
      <c r="F32" s="102">
        <f t="shared" si="4"/>
        <v>0</v>
      </c>
      <c r="G32" s="84"/>
      <c r="H32" s="101"/>
      <c r="I32" s="85"/>
      <c r="J32" s="21"/>
    </row>
    <row r="33" spans="1:10" ht="12.75" outlineLevel="1">
      <c r="A33" s="82" t="s">
        <v>88</v>
      </c>
      <c r="B33" s="86" t="s">
        <v>96</v>
      </c>
      <c r="C33" s="148">
        <v>0</v>
      </c>
      <c r="D33" s="148">
        <f t="shared" si="2"/>
        <v>0</v>
      </c>
      <c r="E33" s="148">
        <f t="shared" si="0"/>
        <v>400</v>
      </c>
      <c r="F33" s="102">
        <f t="shared" si="4"/>
        <v>0</v>
      </c>
      <c r="G33" s="84"/>
      <c r="H33" s="101"/>
      <c r="I33" s="85"/>
      <c r="J33" s="21"/>
    </row>
    <row r="34" spans="1:10" ht="12.75" hidden="1" outlineLevel="1">
      <c r="A34" s="82" t="s">
        <v>89</v>
      </c>
      <c r="B34" s="86" t="s">
        <v>66</v>
      </c>
      <c r="C34" s="148">
        <v>0</v>
      </c>
      <c r="D34" s="148">
        <f t="shared" si="2"/>
        <v>0</v>
      </c>
      <c r="E34" s="148">
        <f t="shared" si="0"/>
        <v>400</v>
      </c>
      <c r="F34" s="102">
        <f t="shared" si="4"/>
        <v>0</v>
      </c>
      <c r="G34" s="84"/>
      <c r="H34" s="101"/>
      <c r="I34" s="85"/>
      <c r="J34" s="21"/>
    </row>
    <row r="35" spans="1:10" ht="12.75" hidden="1" outlineLevel="1">
      <c r="A35" s="82" t="s">
        <v>90</v>
      </c>
      <c r="B35" s="86" t="s">
        <v>67</v>
      </c>
      <c r="C35" s="148">
        <v>0</v>
      </c>
      <c r="D35" s="148">
        <f t="shared" si="2"/>
        <v>0</v>
      </c>
      <c r="E35" s="148">
        <f t="shared" si="0"/>
        <v>400</v>
      </c>
      <c r="F35" s="102">
        <f t="shared" si="4"/>
        <v>0</v>
      </c>
      <c r="G35" s="84"/>
      <c r="H35" s="101"/>
      <c r="I35" s="85"/>
      <c r="J35" s="21"/>
    </row>
    <row r="36" spans="1:11" s="68" customFormat="1" ht="21" customHeight="1" collapsed="1">
      <c r="A36" s="93" t="s">
        <v>17</v>
      </c>
      <c r="B36" s="94" t="s">
        <v>91</v>
      </c>
      <c r="C36" s="147">
        <f>SUM(C37:C42)</f>
        <v>2184.2874111041556</v>
      </c>
      <c r="D36" s="147">
        <f>SUM(D37:D42)</f>
        <v>61160.04751091635</v>
      </c>
      <c r="E36" s="147">
        <f t="shared" si="0"/>
        <v>400</v>
      </c>
      <c r="F36" s="147">
        <f>SUM(F37:F42)</f>
        <v>152.90011877729086</v>
      </c>
      <c r="G36" s="84" t="e">
        <f>C36/#REF!</f>
        <v>#REF!</v>
      </c>
      <c r="H36" s="101"/>
      <c r="I36" s="85"/>
      <c r="J36" s="21"/>
      <c r="K36" s="66"/>
    </row>
    <row r="37" spans="1:9" ht="12.75" outlineLevel="1">
      <c r="A37" s="82" t="s">
        <v>42</v>
      </c>
      <c r="B37" s="83" t="s">
        <v>61</v>
      </c>
      <c r="C37" s="148">
        <f>'Расшифровка затрат'!G48</f>
        <v>548.2621613394216</v>
      </c>
      <c r="D37" s="148">
        <f t="shared" si="2"/>
        <v>15351.340517503804</v>
      </c>
      <c r="E37" s="148">
        <f t="shared" si="0"/>
        <v>400</v>
      </c>
      <c r="F37" s="102">
        <f aca="true" t="shared" si="5" ref="F37:F42">D37/E37</f>
        <v>38.37835129375951</v>
      </c>
      <c r="G37" s="70"/>
      <c r="I37" s="71"/>
    </row>
    <row r="38" spans="1:9" ht="12.75" outlineLevel="1">
      <c r="A38" s="82" t="s">
        <v>48</v>
      </c>
      <c r="B38" s="83" t="s">
        <v>7</v>
      </c>
      <c r="C38" s="148">
        <f>'Расшифровка затрат'!G49</f>
        <v>166.67169704718415</v>
      </c>
      <c r="D38" s="148">
        <f t="shared" si="2"/>
        <v>4666.807517321156</v>
      </c>
      <c r="E38" s="148">
        <f t="shared" si="0"/>
        <v>400</v>
      </c>
      <c r="F38" s="102">
        <f t="shared" si="5"/>
        <v>11.66701879330289</v>
      </c>
      <c r="G38" s="70"/>
      <c r="I38" s="71"/>
    </row>
    <row r="39" spans="1:9" ht="12.75" outlineLevel="1">
      <c r="A39" s="82" t="s">
        <v>92</v>
      </c>
      <c r="B39" s="86" t="s">
        <v>4</v>
      </c>
      <c r="C39" s="148">
        <f>'Расшифровка затрат'!O52</f>
        <v>0</v>
      </c>
      <c r="D39" s="148">
        <f t="shared" si="2"/>
        <v>0</v>
      </c>
      <c r="E39" s="148">
        <f t="shared" si="0"/>
        <v>400</v>
      </c>
      <c r="F39" s="102">
        <f t="shared" si="5"/>
        <v>0</v>
      </c>
      <c r="G39" s="70"/>
      <c r="I39" s="71"/>
    </row>
    <row r="40" spans="1:9" ht="12.75" outlineLevel="1">
      <c r="A40" s="82" t="s">
        <v>93</v>
      </c>
      <c r="B40" s="86" t="s">
        <v>19</v>
      </c>
      <c r="C40" s="148">
        <f>'Расшифровка затрат'!K52</f>
        <v>1289.4614655829994</v>
      </c>
      <c r="D40" s="148">
        <f t="shared" si="2"/>
        <v>36104.92103632398</v>
      </c>
      <c r="E40" s="148">
        <f t="shared" si="0"/>
        <v>400</v>
      </c>
      <c r="F40" s="102">
        <f t="shared" si="5"/>
        <v>90.26230259080995</v>
      </c>
      <c r="G40" s="70"/>
      <c r="I40" s="71"/>
    </row>
    <row r="41" spans="1:9" ht="12.75" outlineLevel="1">
      <c r="A41" s="82" t="s">
        <v>94</v>
      </c>
      <c r="B41" s="86" t="s">
        <v>95</v>
      </c>
      <c r="C41" s="148">
        <f>'Расшифровка затрат'!P50</f>
        <v>176.14483636446207</v>
      </c>
      <c r="D41" s="148">
        <f t="shared" si="2"/>
        <v>4932.055418204938</v>
      </c>
      <c r="E41" s="148">
        <f t="shared" si="0"/>
        <v>400</v>
      </c>
      <c r="F41" s="102">
        <f t="shared" si="5"/>
        <v>12.330138545512346</v>
      </c>
      <c r="G41" s="70"/>
      <c r="I41" s="71"/>
    </row>
    <row r="42" spans="1:9" ht="12.75" outlineLevel="1">
      <c r="A42" s="82" t="s">
        <v>32</v>
      </c>
      <c r="B42" s="86" t="s">
        <v>96</v>
      </c>
      <c r="C42" s="148">
        <f>'Расшифровка затрат'!P51</f>
        <v>3.747250770088178</v>
      </c>
      <c r="D42" s="148">
        <f t="shared" si="2"/>
        <v>104.92302156246897</v>
      </c>
      <c r="E42" s="148">
        <f t="shared" si="0"/>
        <v>400</v>
      </c>
      <c r="F42" s="102">
        <f t="shared" si="5"/>
        <v>0.26230755390617244</v>
      </c>
      <c r="G42" s="70"/>
      <c r="I42" s="71"/>
    </row>
    <row r="43" spans="1:9" ht="12.75">
      <c r="A43" s="230"/>
      <c r="B43" s="231"/>
      <c r="C43" s="232"/>
      <c r="D43" s="232"/>
      <c r="E43" s="232"/>
      <c r="F43" s="233"/>
      <c r="G43" s="70"/>
      <c r="I43" s="71"/>
    </row>
    <row r="44" spans="1:9" ht="12.75">
      <c r="A44" s="230"/>
      <c r="B44" s="231"/>
      <c r="C44" s="232"/>
      <c r="D44" s="232"/>
      <c r="E44" s="232"/>
      <c r="F44" s="233"/>
      <c r="G44" s="70"/>
      <c r="I44" s="71"/>
    </row>
    <row r="45" spans="1:6" s="68" customFormat="1" ht="15" outlineLevel="1">
      <c r="A45" s="73"/>
      <c r="B45" s="73"/>
      <c r="C45" s="73"/>
      <c r="D45" s="126">
        <f>D6+D27+D36</f>
        <v>129152.78250786637</v>
      </c>
      <c r="E45" s="73"/>
      <c r="F45" s="74"/>
    </row>
    <row r="46" spans="1:6" s="75" customFormat="1" ht="18" customHeight="1" outlineLevel="2">
      <c r="A46" s="73"/>
      <c r="B46" s="65"/>
      <c r="C46" s="159" t="s">
        <v>192</v>
      </c>
      <c r="D46" s="160">
        <f>D7+D21+D28+D37</f>
        <v>52123.6305631659</v>
      </c>
      <c r="E46" s="73"/>
      <c r="F46" s="74"/>
    </row>
    <row r="47" spans="1:4" ht="16.5" customHeight="1" outlineLevel="2">
      <c r="A47" s="76"/>
      <c r="B47" s="77"/>
      <c r="C47" s="161" t="s">
        <v>193</v>
      </c>
      <c r="D47" s="162">
        <f>D8+D22+D29+D38</f>
        <v>15845.583691202432</v>
      </c>
    </row>
    <row r="48" spans="1:6" ht="15" outlineLevel="2">
      <c r="A48" s="73"/>
      <c r="C48" s="159" t="s">
        <v>194</v>
      </c>
      <c r="D48" s="160">
        <f>D10+D24+D31+D40</f>
        <v>50546.889450853574</v>
      </c>
      <c r="E48" s="73"/>
      <c r="F48" s="74"/>
    </row>
    <row r="49" spans="3:4" ht="12.75" outlineLevel="2">
      <c r="C49" s="159" t="s">
        <v>195</v>
      </c>
      <c r="D49" s="160">
        <f>D11+D25+D32+D41</f>
        <v>10415.110953445077</v>
      </c>
    </row>
    <row r="50" spans="3:4" ht="12.75" outlineLevel="2">
      <c r="C50" s="159" t="s">
        <v>196</v>
      </c>
      <c r="D50" s="160">
        <f>D12+D26+D33+D42</f>
        <v>221.5678491993816</v>
      </c>
    </row>
    <row r="51" spans="3:4" ht="12.75" outlineLevel="2">
      <c r="C51" s="159"/>
      <c r="D51" s="160">
        <f>SUM(D46:D50)</f>
        <v>129152.78250786636</v>
      </c>
    </row>
    <row r="53" spans="2:5" ht="15.75">
      <c r="B53" s="261" t="s">
        <v>240</v>
      </c>
      <c r="C53" s="261"/>
      <c r="D53" s="262"/>
      <c r="E53" s="262"/>
    </row>
  </sheetData>
  <sheetProtection/>
  <mergeCells count="2">
    <mergeCell ref="A2:F2"/>
    <mergeCell ref="B53:E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4" sqref="B54:E54"/>
    </sheetView>
  </sheetViews>
  <sheetFormatPr defaultColWidth="9.140625" defaultRowHeight="12.75" outlineLevelRow="1" outlineLevelCol="1"/>
  <cols>
    <col min="1" max="1" width="7.140625" style="65" customWidth="1"/>
    <col min="2" max="2" width="81.8515625" style="65" customWidth="1"/>
    <col min="3" max="3" width="14.28125" style="65" customWidth="1" outlineLevel="1"/>
    <col min="4" max="4" width="19.00390625" style="65" customWidth="1"/>
    <col min="5" max="5" width="14.28125" style="65" customWidth="1"/>
    <col min="6" max="6" width="16.7109375" style="78" customWidth="1"/>
    <col min="7" max="7" width="12.421875" style="66" hidden="1" customWidth="1"/>
    <col min="8" max="8" width="9.28125" style="66" customWidth="1"/>
    <col min="9" max="9" width="12.140625" style="66" customWidth="1"/>
    <col min="10" max="10" width="12.28125" style="66" customWidth="1"/>
    <col min="11" max="16384" width="9.140625" style="66" customWidth="1"/>
  </cols>
  <sheetData>
    <row r="1" spans="1:10" ht="12.75">
      <c r="A1" s="79"/>
      <c r="B1" s="79"/>
      <c r="C1" s="79"/>
      <c r="D1" s="79"/>
      <c r="E1" s="79"/>
      <c r="F1" s="80"/>
      <c r="G1" s="21"/>
      <c r="H1" s="21"/>
      <c r="I1" s="21"/>
      <c r="J1" s="21"/>
    </row>
    <row r="2" spans="1:10" ht="87" customHeight="1">
      <c r="A2" s="271" t="s">
        <v>229</v>
      </c>
      <c r="B2" s="271"/>
      <c r="C2" s="271"/>
      <c r="D2" s="272"/>
      <c r="E2" s="272"/>
      <c r="F2" s="272"/>
      <c r="G2" s="21"/>
      <c r="H2" s="21"/>
      <c r="I2" s="21"/>
      <c r="J2" s="21"/>
    </row>
    <row r="3" spans="1:11" s="68" customFormat="1" ht="74.25" customHeight="1">
      <c r="A3" s="87" t="s">
        <v>49</v>
      </c>
      <c r="B3" s="87" t="s">
        <v>50</v>
      </c>
      <c r="C3" s="88" t="s">
        <v>51</v>
      </c>
      <c r="D3" s="67" t="s">
        <v>52</v>
      </c>
      <c r="E3" s="67" t="s">
        <v>53</v>
      </c>
      <c r="F3" s="67" t="s">
        <v>54</v>
      </c>
      <c r="G3" s="89" t="s">
        <v>55</v>
      </c>
      <c r="H3" s="90" t="s">
        <v>224</v>
      </c>
      <c r="I3" s="81">
        <v>6</v>
      </c>
      <c r="J3" s="81">
        <v>370</v>
      </c>
      <c r="K3" s="66"/>
    </row>
    <row r="4" spans="1:11" s="68" customFormat="1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91">
        <v>6</v>
      </c>
      <c r="G4" s="21"/>
      <c r="H4" s="92"/>
      <c r="I4" s="81" t="s">
        <v>56</v>
      </c>
      <c r="J4" s="81" t="s">
        <v>57</v>
      </c>
      <c r="K4" s="66"/>
    </row>
    <row r="5" spans="1:11" s="69" customFormat="1" ht="15.75" outlineLevel="1">
      <c r="A5" s="93"/>
      <c r="B5" s="94" t="s">
        <v>58</v>
      </c>
      <c r="C5" s="147">
        <f>SUM(C6,C13,C14,C20,C27,C36)</f>
        <v>4612.599375280942</v>
      </c>
      <c r="D5" s="147">
        <f>D6+D20+D27+D36</f>
        <v>27675.596251685653</v>
      </c>
      <c r="E5" s="147">
        <f>J3</f>
        <v>370</v>
      </c>
      <c r="F5" s="147">
        <f>SUM(F6,F13,F14,F20,F27,F36)</f>
        <v>74.8009087883396</v>
      </c>
      <c r="G5" s="95"/>
      <c r="H5" s="96"/>
      <c r="I5" s="97"/>
      <c r="J5" s="22">
        <f>J3/I3</f>
        <v>61.666666666666664</v>
      </c>
      <c r="K5" s="98"/>
    </row>
    <row r="6" spans="1:11" s="68" customFormat="1" ht="34.5" customHeight="1">
      <c r="A6" s="93" t="s">
        <v>0</v>
      </c>
      <c r="B6" s="94" t="s">
        <v>59</v>
      </c>
      <c r="C6" s="147">
        <f>SUM(C7:C12)</f>
        <v>2428.311964176786</v>
      </c>
      <c r="D6" s="147">
        <f>SUM(D7:D12)</f>
        <v>14569.871785060719</v>
      </c>
      <c r="E6" s="147">
        <f>E5</f>
        <v>370</v>
      </c>
      <c r="F6" s="147">
        <f>SUM(F7:F12)+0.002</f>
        <v>39.380031851515454</v>
      </c>
      <c r="G6" s="100" t="e">
        <f>SUM(G7:G10)</f>
        <v>#REF!</v>
      </c>
      <c r="H6" s="182"/>
      <c r="I6" s="95"/>
      <c r="J6" s="96"/>
      <c r="K6" s="66"/>
    </row>
    <row r="7" spans="1:10" ht="12.75" outlineLevel="1">
      <c r="A7" s="82" t="s">
        <v>60</v>
      </c>
      <c r="B7" s="83" t="s">
        <v>61</v>
      </c>
      <c r="C7" s="148">
        <f>'Расшифровка затрат'!G16</f>
        <v>1313.2960730593604</v>
      </c>
      <c r="D7" s="148">
        <f aca="true" t="shared" si="0" ref="D7:D12">C7*$I$3</f>
        <v>7879.7764383561625</v>
      </c>
      <c r="E7" s="148">
        <f aca="true" t="shared" si="1" ref="E7:E12">E6</f>
        <v>370</v>
      </c>
      <c r="F7" s="102">
        <f aca="true" t="shared" si="2" ref="F7:F12">D7/E7</f>
        <v>21.296693076638277</v>
      </c>
      <c r="G7" s="84" t="e">
        <f>C7/#REF!</f>
        <v>#REF!</v>
      </c>
      <c r="H7" s="101"/>
      <c r="I7" s="181"/>
      <c r="J7" s="22"/>
    </row>
    <row r="8" spans="1:10" ht="12.75" outlineLevel="1">
      <c r="A8" s="82" t="s">
        <v>62</v>
      </c>
      <c r="B8" s="83" t="s">
        <v>7</v>
      </c>
      <c r="C8" s="148">
        <f>'Расшифровка затрат'!G17</f>
        <v>399.24200621004553</v>
      </c>
      <c r="D8" s="148">
        <f t="shared" si="0"/>
        <v>2395.4520372602733</v>
      </c>
      <c r="E8" s="148">
        <f t="shared" si="1"/>
        <v>370</v>
      </c>
      <c r="F8" s="102">
        <f t="shared" si="2"/>
        <v>6.474194695298036</v>
      </c>
      <c r="G8" s="84"/>
      <c r="H8" s="101"/>
      <c r="I8" s="181"/>
      <c r="J8" s="85"/>
    </row>
    <row r="9" spans="1:10" ht="12.75" outlineLevel="1">
      <c r="A9" s="82" t="s">
        <v>63</v>
      </c>
      <c r="B9" s="86" t="s">
        <v>4</v>
      </c>
      <c r="C9" s="148">
        <f>'Расшифровка затрат'!O20</f>
        <v>0</v>
      </c>
      <c r="D9" s="148">
        <f t="shared" si="0"/>
        <v>0</v>
      </c>
      <c r="E9" s="148">
        <f t="shared" si="1"/>
        <v>370</v>
      </c>
      <c r="F9" s="102">
        <f t="shared" si="2"/>
        <v>0</v>
      </c>
      <c r="G9" s="84" t="e">
        <f>C9/#REF!</f>
        <v>#REF!</v>
      </c>
      <c r="H9" s="101"/>
      <c r="I9" s="85"/>
      <c r="J9" s="21"/>
    </row>
    <row r="10" spans="1:10" ht="12.75" outlineLevel="1">
      <c r="A10" s="82" t="s">
        <v>64</v>
      </c>
      <c r="B10" s="86" t="s">
        <v>19</v>
      </c>
      <c r="C10" s="148">
        <f>'Расшифровка затрат'!K20</f>
        <v>515.7845862331998</v>
      </c>
      <c r="D10" s="148">
        <f t="shared" si="0"/>
        <v>3094.707517399199</v>
      </c>
      <c r="E10" s="148">
        <f t="shared" si="1"/>
        <v>370</v>
      </c>
      <c r="F10" s="102">
        <f t="shared" si="2"/>
        <v>8.364074371349187</v>
      </c>
      <c r="G10" s="84" t="e">
        <f>C10/#REF!</f>
        <v>#REF!</v>
      </c>
      <c r="H10" s="101"/>
      <c r="I10" s="85"/>
      <c r="J10" s="21"/>
    </row>
    <row r="11" spans="1:10" ht="12.75" outlineLevel="1">
      <c r="A11" s="82" t="s">
        <v>14</v>
      </c>
      <c r="B11" s="86" t="s">
        <v>95</v>
      </c>
      <c r="C11" s="148">
        <f>'Расшифровка затрат'!P18</f>
        <v>195.82341197286212</v>
      </c>
      <c r="D11" s="148">
        <f t="shared" si="0"/>
        <v>1174.9404718371727</v>
      </c>
      <c r="E11" s="148">
        <f t="shared" si="1"/>
        <v>370</v>
      </c>
      <c r="F11" s="102">
        <f t="shared" si="2"/>
        <v>3.1755147887491155</v>
      </c>
      <c r="G11" s="84"/>
      <c r="H11" s="101"/>
      <c r="I11" s="85"/>
      <c r="J11" s="21"/>
    </row>
    <row r="12" spans="1:10" ht="12.75" outlineLevel="1">
      <c r="A12" s="82" t="s">
        <v>65</v>
      </c>
      <c r="B12" s="86" t="s">
        <v>96</v>
      </c>
      <c r="C12" s="148">
        <f>'Расшифровка затрат'!P19</f>
        <v>4.165886701318309</v>
      </c>
      <c r="D12" s="148">
        <f t="shared" si="0"/>
        <v>24.995320207909852</v>
      </c>
      <c r="E12" s="148">
        <f t="shared" si="1"/>
        <v>370</v>
      </c>
      <c r="F12" s="102">
        <f t="shared" si="2"/>
        <v>0.06755491948083744</v>
      </c>
      <c r="G12" s="84"/>
      <c r="H12" s="101"/>
      <c r="I12" s="85"/>
      <c r="J12" s="21"/>
    </row>
    <row r="13" spans="1:11" s="68" customFormat="1" ht="44.25" customHeight="1">
      <c r="A13" s="87" t="s">
        <v>1</v>
      </c>
      <c r="B13" s="99" t="s">
        <v>68</v>
      </c>
      <c r="C13" s="148">
        <v>0</v>
      </c>
      <c r="D13" s="148">
        <v>0</v>
      </c>
      <c r="E13" s="148">
        <v>0</v>
      </c>
      <c r="F13" s="148">
        <v>0</v>
      </c>
      <c r="G13" s="103"/>
      <c r="H13" s="101"/>
      <c r="I13" s="85"/>
      <c r="J13" s="21"/>
      <c r="K13" s="66"/>
    </row>
    <row r="14" spans="1:11" s="68" customFormat="1" ht="37.5" customHeight="1">
      <c r="A14" s="87" t="s">
        <v>2</v>
      </c>
      <c r="B14" s="99" t="s">
        <v>69</v>
      </c>
      <c r="C14" s="148" t="s">
        <v>70</v>
      </c>
      <c r="D14" s="148" t="s">
        <v>70</v>
      </c>
      <c r="E14" s="148" t="s">
        <v>70</v>
      </c>
      <c r="F14" s="148" t="s">
        <v>70</v>
      </c>
      <c r="G14" s="103" t="e">
        <f>SUM(#REF!)</f>
        <v>#REF!</v>
      </c>
      <c r="H14" s="101"/>
      <c r="I14" s="85"/>
      <c r="J14" s="104"/>
      <c r="K14" s="66"/>
    </row>
    <row r="15" spans="1:11" s="68" customFormat="1" ht="19.5" customHeight="1">
      <c r="A15" s="87" t="s">
        <v>71</v>
      </c>
      <c r="B15" s="99" t="s">
        <v>72</v>
      </c>
      <c r="C15" s="148"/>
      <c r="D15" s="148"/>
      <c r="E15" s="148"/>
      <c r="F15" s="148"/>
      <c r="G15" s="103"/>
      <c r="H15" s="101"/>
      <c r="I15" s="85"/>
      <c r="J15" s="104"/>
      <c r="K15" s="66"/>
    </row>
    <row r="16" spans="1:11" s="68" customFormat="1" ht="15">
      <c r="A16" s="87" t="s">
        <v>73</v>
      </c>
      <c r="B16" s="99" t="s">
        <v>74</v>
      </c>
      <c r="C16" s="148"/>
      <c r="D16" s="148">
        <v>0</v>
      </c>
      <c r="E16" s="148">
        <v>0</v>
      </c>
      <c r="F16" s="148">
        <v>0</v>
      </c>
      <c r="G16" s="103"/>
      <c r="H16" s="101"/>
      <c r="I16" s="85"/>
      <c r="J16" s="104"/>
      <c r="K16" s="66"/>
    </row>
    <row r="17" spans="1:11" s="68" customFormat="1" ht="15">
      <c r="A17" s="87" t="s">
        <v>75</v>
      </c>
      <c r="B17" s="99" t="s">
        <v>76</v>
      </c>
      <c r="C17" s="148"/>
      <c r="D17" s="148">
        <v>0</v>
      </c>
      <c r="E17" s="148">
        <v>0</v>
      </c>
      <c r="F17" s="148">
        <v>0</v>
      </c>
      <c r="G17" s="103"/>
      <c r="H17" s="101"/>
      <c r="I17" s="85"/>
      <c r="J17" s="104"/>
      <c r="K17" s="66"/>
    </row>
    <row r="18" spans="1:11" s="68" customFormat="1" ht="75.75" customHeight="1">
      <c r="A18" s="87" t="s">
        <v>77</v>
      </c>
      <c r="B18" s="99" t="s">
        <v>78</v>
      </c>
      <c r="C18" s="148"/>
      <c r="D18" s="148"/>
      <c r="E18" s="148"/>
      <c r="F18" s="148"/>
      <c r="G18" s="103"/>
      <c r="H18" s="101"/>
      <c r="I18" s="85"/>
      <c r="J18" s="104"/>
      <c r="K18" s="66"/>
    </row>
    <row r="19" spans="1:11" s="68" customFormat="1" ht="53.25" customHeight="1">
      <c r="A19" s="87" t="s">
        <v>79</v>
      </c>
      <c r="B19" s="99" t="s">
        <v>80</v>
      </c>
      <c r="C19" s="148"/>
      <c r="D19" s="148">
        <v>0</v>
      </c>
      <c r="E19" s="148">
        <v>0</v>
      </c>
      <c r="F19" s="148">
        <v>0</v>
      </c>
      <c r="G19" s="103"/>
      <c r="H19" s="101"/>
      <c r="I19" s="85"/>
      <c r="J19" s="104"/>
      <c r="K19" s="66"/>
    </row>
    <row r="20" spans="1:11" s="68" customFormat="1" ht="24.75" customHeight="1">
      <c r="A20" s="93" t="s">
        <v>3</v>
      </c>
      <c r="B20" s="94" t="s">
        <v>81</v>
      </c>
      <c r="C20" s="147">
        <f>SUM(C21:C26)</f>
        <v>0</v>
      </c>
      <c r="D20" s="147">
        <f>SUM(D21:D26)</f>
        <v>0</v>
      </c>
      <c r="E20" s="147">
        <f>$J$3</f>
        <v>370</v>
      </c>
      <c r="F20" s="147">
        <f>SUM(F21:F26)</f>
        <v>0</v>
      </c>
      <c r="G20" s="84" t="e">
        <f>C20/#REF!</f>
        <v>#REF!</v>
      </c>
      <c r="H20" s="101"/>
      <c r="I20" s="85"/>
      <c r="J20" s="21"/>
      <c r="K20" s="66"/>
    </row>
    <row r="21" spans="1:10" ht="12.75" outlineLevel="1">
      <c r="A21" s="82" t="s">
        <v>11</v>
      </c>
      <c r="B21" s="83" t="s">
        <v>61</v>
      </c>
      <c r="C21" s="148">
        <v>0</v>
      </c>
      <c r="D21" s="148">
        <f aca="true" t="shared" si="3" ref="D21:D26">C21*$I$3</f>
        <v>0</v>
      </c>
      <c r="E21" s="148">
        <f aca="true" t="shared" si="4" ref="E21:E26">E20</f>
        <v>370</v>
      </c>
      <c r="F21" s="102">
        <f aca="true" t="shared" si="5" ref="F21:F26">D21/E21</f>
        <v>0</v>
      </c>
      <c r="G21" s="84"/>
      <c r="H21" s="101"/>
      <c r="I21" s="85"/>
      <c r="J21" s="21"/>
    </row>
    <row r="22" spans="1:10" ht="12.75" outlineLevel="1">
      <c r="A22" s="82" t="s">
        <v>12</v>
      </c>
      <c r="B22" s="83" t="s">
        <v>7</v>
      </c>
      <c r="C22" s="148">
        <v>0</v>
      </c>
      <c r="D22" s="148">
        <f t="shared" si="3"/>
        <v>0</v>
      </c>
      <c r="E22" s="148">
        <f t="shared" si="4"/>
        <v>370</v>
      </c>
      <c r="F22" s="102">
        <f t="shared" si="5"/>
        <v>0</v>
      </c>
      <c r="G22" s="84"/>
      <c r="H22" s="101"/>
      <c r="I22" s="85"/>
      <c r="J22" s="21"/>
    </row>
    <row r="23" spans="1:10" ht="12.75" outlineLevel="1">
      <c r="A23" s="82" t="s">
        <v>13</v>
      </c>
      <c r="B23" s="86" t="s">
        <v>4</v>
      </c>
      <c r="C23" s="148">
        <v>0</v>
      </c>
      <c r="D23" s="148">
        <f t="shared" si="3"/>
        <v>0</v>
      </c>
      <c r="E23" s="148">
        <f t="shared" si="4"/>
        <v>370</v>
      </c>
      <c r="F23" s="102">
        <f t="shared" si="5"/>
        <v>0</v>
      </c>
      <c r="G23" s="84"/>
      <c r="H23" s="101"/>
      <c r="I23" s="85"/>
      <c r="J23" s="21"/>
    </row>
    <row r="24" spans="1:10" ht="12.75" outlineLevel="1">
      <c r="A24" s="82" t="s">
        <v>82</v>
      </c>
      <c r="B24" s="86" t="s">
        <v>19</v>
      </c>
      <c r="C24" s="148">
        <v>0</v>
      </c>
      <c r="D24" s="148">
        <f t="shared" si="3"/>
        <v>0</v>
      </c>
      <c r="E24" s="148">
        <f t="shared" si="4"/>
        <v>370</v>
      </c>
      <c r="F24" s="102">
        <f t="shared" si="5"/>
        <v>0</v>
      </c>
      <c r="G24" s="84"/>
      <c r="H24" s="101"/>
      <c r="I24" s="85"/>
      <c r="J24" s="21"/>
    </row>
    <row r="25" spans="1:10" ht="12.75" outlineLevel="1">
      <c r="A25" s="82" t="s">
        <v>83</v>
      </c>
      <c r="B25" s="86" t="s">
        <v>95</v>
      </c>
      <c r="C25" s="148">
        <v>0</v>
      </c>
      <c r="D25" s="148">
        <f t="shared" si="3"/>
        <v>0</v>
      </c>
      <c r="E25" s="148">
        <f t="shared" si="4"/>
        <v>370</v>
      </c>
      <c r="F25" s="102">
        <f t="shared" si="5"/>
        <v>0</v>
      </c>
      <c r="G25" s="84"/>
      <c r="H25" s="101"/>
      <c r="I25" s="85"/>
      <c r="J25" s="21"/>
    </row>
    <row r="26" spans="1:10" ht="12.75" outlineLevel="1">
      <c r="A26" s="82" t="s">
        <v>84</v>
      </c>
      <c r="B26" s="86" t="s">
        <v>96</v>
      </c>
      <c r="C26" s="148">
        <v>0</v>
      </c>
      <c r="D26" s="148">
        <f t="shared" si="3"/>
        <v>0</v>
      </c>
      <c r="E26" s="148">
        <f t="shared" si="4"/>
        <v>370</v>
      </c>
      <c r="F26" s="102">
        <f t="shared" si="5"/>
        <v>0</v>
      </c>
      <c r="G26" s="84"/>
      <c r="H26" s="101"/>
      <c r="I26" s="85"/>
      <c r="J26" s="21"/>
    </row>
    <row r="27" spans="1:11" s="68" customFormat="1" ht="33.75" customHeight="1">
      <c r="A27" s="93" t="s">
        <v>10</v>
      </c>
      <c r="B27" s="94" t="s">
        <v>85</v>
      </c>
      <c r="C27" s="147">
        <f>SUM(C28:C35)</f>
        <v>0</v>
      </c>
      <c r="D27" s="147">
        <f>SUM(D28:D35)</f>
        <v>0</v>
      </c>
      <c r="E27" s="147">
        <f>$J$3</f>
        <v>370</v>
      </c>
      <c r="F27" s="147">
        <f>SUM(F28:F35)</f>
        <v>0</v>
      </c>
      <c r="G27" s="84" t="e">
        <f>C27/#REF!</f>
        <v>#REF!</v>
      </c>
      <c r="H27" s="101"/>
      <c r="I27" s="85"/>
      <c r="J27" s="21"/>
      <c r="K27" s="66"/>
    </row>
    <row r="28" spans="1:10" ht="12.75" hidden="1" outlineLevel="1">
      <c r="A28" s="82" t="s">
        <v>33</v>
      </c>
      <c r="B28" s="83" t="s">
        <v>61</v>
      </c>
      <c r="C28" s="148">
        <v>0</v>
      </c>
      <c r="D28" s="148">
        <f aca="true" t="shared" si="6" ref="D28:D33">C28*$I$3</f>
        <v>0</v>
      </c>
      <c r="E28" s="148">
        <f aca="true" t="shared" si="7" ref="E28:E33">E27</f>
        <v>370</v>
      </c>
      <c r="F28" s="102">
        <f>D28/E28</f>
        <v>0</v>
      </c>
      <c r="G28" s="84"/>
      <c r="H28" s="101"/>
      <c r="I28" s="85"/>
      <c r="J28" s="21"/>
    </row>
    <row r="29" spans="1:10" ht="12.75" hidden="1" outlineLevel="1">
      <c r="A29" s="82" t="s">
        <v>34</v>
      </c>
      <c r="B29" s="83" t="s">
        <v>7</v>
      </c>
      <c r="C29" s="148">
        <v>0</v>
      </c>
      <c r="D29" s="148">
        <f t="shared" si="6"/>
        <v>0</v>
      </c>
      <c r="E29" s="148">
        <f t="shared" si="7"/>
        <v>370</v>
      </c>
      <c r="F29" s="102">
        <f aca="true" t="shared" si="8" ref="F29:F35">D29/E29</f>
        <v>0</v>
      </c>
      <c r="G29" s="84"/>
      <c r="H29" s="101"/>
      <c r="I29" s="85"/>
      <c r="J29" s="21"/>
    </row>
    <row r="30" spans="1:10" ht="12.75" hidden="1" outlineLevel="1">
      <c r="A30" s="82" t="s">
        <v>35</v>
      </c>
      <c r="B30" s="86" t="s">
        <v>4</v>
      </c>
      <c r="C30" s="148">
        <v>0</v>
      </c>
      <c r="D30" s="148">
        <f t="shared" si="6"/>
        <v>0</v>
      </c>
      <c r="E30" s="148">
        <f t="shared" si="7"/>
        <v>370</v>
      </c>
      <c r="F30" s="102">
        <f t="shared" si="8"/>
        <v>0</v>
      </c>
      <c r="G30" s="84"/>
      <c r="H30" s="101"/>
      <c r="I30" s="85"/>
      <c r="J30" s="21"/>
    </row>
    <row r="31" spans="1:10" ht="12.75" hidden="1" outlineLevel="1">
      <c r="A31" s="82" t="s">
        <v>86</v>
      </c>
      <c r="B31" s="86" t="s">
        <v>19</v>
      </c>
      <c r="C31" s="148">
        <v>0</v>
      </c>
      <c r="D31" s="148">
        <f t="shared" si="6"/>
        <v>0</v>
      </c>
      <c r="E31" s="148">
        <f t="shared" si="7"/>
        <v>370</v>
      </c>
      <c r="F31" s="102">
        <f t="shared" si="8"/>
        <v>0</v>
      </c>
      <c r="G31" s="84"/>
      <c r="H31" s="101"/>
      <c r="I31" s="85"/>
      <c r="J31" s="21"/>
    </row>
    <row r="32" spans="1:10" ht="12.75" hidden="1" outlineLevel="1">
      <c r="A32" s="82" t="s">
        <v>87</v>
      </c>
      <c r="B32" s="86" t="s">
        <v>95</v>
      </c>
      <c r="C32" s="148">
        <v>0</v>
      </c>
      <c r="D32" s="148">
        <f t="shared" si="6"/>
        <v>0</v>
      </c>
      <c r="E32" s="148">
        <f t="shared" si="7"/>
        <v>370</v>
      </c>
      <c r="F32" s="102">
        <f t="shared" si="8"/>
        <v>0</v>
      </c>
      <c r="G32" s="84"/>
      <c r="H32" s="101"/>
      <c r="I32" s="85"/>
      <c r="J32" s="21"/>
    </row>
    <row r="33" spans="1:10" ht="12.75" hidden="1" outlineLevel="1">
      <c r="A33" s="82" t="s">
        <v>88</v>
      </c>
      <c r="B33" s="86" t="s">
        <v>96</v>
      </c>
      <c r="C33" s="148">
        <v>0</v>
      </c>
      <c r="D33" s="148">
        <f t="shared" si="6"/>
        <v>0</v>
      </c>
      <c r="E33" s="148">
        <f t="shared" si="7"/>
        <v>370</v>
      </c>
      <c r="F33" s="102">
        <f t="shared" si="8"/>
        <v>0</v>
      </c>
      <c r="G33" s="84"/>
      <c r="H33" s="101"/>
      <c r="I33" s="85"/>
      <c r="J33" s="21"/>
    </row>
    <row r="34" spans="1:10" ht="12.75" hidden="1" outlineLevel="1">
      <c r="A34" s="82" t="s">
        <v>89</v>
      </c>
      <c r="B34" s="44" t="s">
        <v>210</v>
      </c>
      <c r="C34" s="148">
        <v>0</v>
      </c>
      <c r="D34" s="148">
        <f>C34*$I$3</f>
        <v>0</v>
      </c>
      <c r="E34" s="148">
        <f>$J$3</f>
        <v>370</v>
      </c>
      <c r="F34" s="102">
        <f t="shared" si="8"/>
        <v>0</v>
      </c>
      <c r="G34" s="84"/>
      <c r="H34" s="101"/>
      <c r="I34" s="85"/>
      <c r="J34" s="21"/>
    </row>
    <row r="35" spans="1:10" ht="12.75" hidden="1" outlineLevel="1">
      <c r="A35" s="82" t="s">
        <v>90</v>
      </c>
      <c r="B35" s="44" t="s">
        <v>211</v>
      </c>
      <c r="C35" s="148">
        <v>0</v>
      </c>
      <c r="D35" s="148">
        <f>C35*$I$3</f>
        <v>0</v>
      </c>
      <c r="E35" s="148">
        <f>$J$3</f>
        <v>370</v>
      </c>
      <c r="F35" s="102">
        <f t="shared" si="8"/>
        <v>0</v>
      </c>
      <c r="G35" s="84"/>
      <c r="H35" s="101"/>
      <c r="I35" s="85"/>
      <c r="J35" s="21"/>
    </row>
    <row r="36" spans="1:11" s="68" customFormat="1" ht="38.25" customHeight="1" collapsed="1">
      <c r="A36" s="93" t="s">
        <v>17</v>
      </c>
      <c r="B36" s="94" t="s">
        <v>91</v>
      </c>
      <c r="C36" s="147">
        <f>SUM(C37:C42)</f>
        <v>2184.2874111041556</v>
      </c>
      <c r="D36" s="147">
        <f>SUM(D37:D42)</f>
        <v>13105.724466624932</v>
      </c>
      <c r="E36" s="147">
        <f>$J$3</f>
        <v>370</v>
      </c>
      <c r="F36" s="147">
        <f>SUM(F37:F42)</f>
        <v>35.42087693682414</v>
      </c>
      <c r="G36" s="84" t="e">
        <f>C36/#REF!</f>
        <v>#REF!</v>
      </c>
      <c r="H36" s="101"/>
      <c r="I36" s="85"/>
      <c r="J36" s="21"/>
      <c r="K36" s="66"/>
    </row>
    <row r="37" spans="1:9" ht="12.75" outlineLevel="1">
      <c r="A37" s="82" t="s">
        <v>42</v>
      </c>
      <c r="B37" s="83" t="s">
        <v>61</v>
      </c>
      <c r="C37" s="148">
        <f>'Расшифровка затрат'!G48</f>
        <v>548.2621613394216</v>
      </c>
      <c r="D37" s="148">
        <f aca="true" t="shared" si="9" ref="D37:D42">C37*$I$3</f>
        <v>3289.5729680365293</v>
      </c>
      <c r="E37" s="148">
        <f aca="true" t="shared" si="10" ref="E37:E42">E36</f>
        <v>370</v>
      </c>
      <c r="F37" s="102">
        <f aca="true" t="shared" si="11" ref="F37:F42">D37/E37</f>
        <v>8.890737751450079</v>
      </c>
      <c r="G37" s="70"/>
      <c r="I37" s="71"/>
    </row>
    <row r="38" spans="1:9" ht="12.75" outlineLevel="1">
      <c r="A38" s="82" t="s">
        <v>48</v>
      </c>
      <c r="B38" s="83" t="s">
        <v>7</v>
      </c>
      <c r="C38" s="148">
        <f>'Расшифровка затрат'!G49</f>
        <v>166.67169704718415</v>
      </c>
      <c r="D38" s="148">
        <f t="shared" si="9"/>
        <v>1000.030182283105</v>
      </c>
      <c r="E38" s="148">
        <f t="shared" si="10"/>
        <v>370</v>
      </c>
      <c r="F38" s="102">
        <f t="shared" si="11"/>
        <v>2.7027842764408243</v>
      </c>
      <c r="G38" s="70"/>
      <c r="I38" s="71"/>
    </row>
    <row r="39" spans="1:9" ht="12.75" outlineLevel="1">
      <c r="A39" s="82" t="s">
        <v>92</v>
      </c>
      <c r="B39" s="86" t="s">
        <v>4</v>
      </c>
      <c r="C39" s="148">
        <f>'Расшифровка затрат'!O52</f>
        <v>0</v>
      </c>
      <c r="D39" s="148">
        <f t="shared" si="9"/>
        <v>0</v>
      </c>
      <c r="E39" s="148">
        <f t="shared" si="10"/>
        <v>370</v>
      </c>
      <c r="F39" s="102">
        <f t="shared" si="11"/>
        <v>0</v>
      </c>
      <c r="G39" s="70"/>
      <c r="I39" s="71"/>
    </row>
    <row r="40" spans="1:9" ht="12.75" outlineLevel="1">
      <c r="A40" s="82" t="s">
        <v>93</v>
      </c>
      <c r="B40" s="86" t="s">
        <v>19</v>
      </c>
      <c r="C40" s="148">
        <f>'Расшифровка затрат'!K52</f>
        <v>1289.4614655829994</v>
      </c>
      <c r="D40" s="148">
        <f t="shared" si="9"/>
        <v>7736.768793497997</v>
      </c>
      <c r="E40" s="148">
        <f t="shared" si="10"/>
        <v>370</v>
      </c>
      <c r="F40" s="102">
        <f t="shared" si="11"/>
        <v>20.910185928372965</v>
      </c>
      <c r="G40" s="70"/>
      <c r="I40" s="71"/>
    </row>
    <row r="41" spans="1:9" ht="12.75" outlineLevel="1">
      <c r="A41" s="82" t="s">
        <v>94</v>
      </c>
      <c r="B41" s="86" t="s">
        <v>95</v>
      </c>
      <c r="C41" s="148">
        <f>'Расшифровка затрат'!P50</f>
        <v>176.14483636446207</v>
      </c>
      <c r="D41" s="148">
        <f t="shared" si="9"/>
        <v>1056.8690181867723</v>
      </c>
      <c r="E41" s="148">
        <f t="shared" si="10"/>
        <v>370</v>
      </c>
      <c r="F41" s="102">
        <f t="shared" si="11"/>
        <v>2.8564027518561415</v>
      </c>
      <c r="G41" s="70"/>
      <c r="I41" s="71"/>
    </row>
    <row r="42" spans="1:9" ht="12.75" outlineLevel="1">
      <c r="A42" s="82" t="s">
        <v>32</v>
      </c>
      <c r="B42" s="86" t="s">
        <v>96</v>
      </c>
      <c r="C42" s="148">
        <f>'Расшифровка затрат'!P51</f>
        <v>3.747250770088178</v>
      </c>
      <c r="D42" s="148">
        <f t="shared" si="9"/>
        <v>22.483504620529068</v>
      </c>
      <c r="E42" s="148">
        <f t="shared" si="10"/>
        <v>370</v>
      </c>
      <c r="F42" s="102">
        <f t="shared" si="11"/>
        <v>0.06076622870413262</v>
      </c>
      <c r="G42" s="70"/>
      <c r="I42" s="71"/>
    </row>
    <row r="43" spans="1:9" ht="12.75">
      <c r="A43" s="230"/>
      <c r="B43" s="231"/>
      <c r="C43" s="232"/>
      <c r="D43" s="232"/>
      <c r="E43" s="232"/>
      <c r="F43" s="233"/>
      <c r="G43" s="70"/>
      <c r="I43" s="71"/>
    </row>
    <row r="44" spans="1:9" ht="12.75">
      <c r="A44" s="230"/>
      <c r="B44" s="231"/>
      <c r="C44" s="232"/>
      <c r="D44" s="232"/>
      <c r="E44" s="232"/>
      <c r="F44" s="233"/>
      <c r="G44" s="70"/>
      <c r="I44" s="71"/>
    </row>
    <row r="45" spans="1:6" s="68" customFormat="1" ht="15.75" customHeight="1" outlineLevel="1">
      <c r="A45" s="73"/>
      <c r="B45" s="73"/>
      <c r="C45" s="73"/>
      <c r="D45" s="170">
        <f>D6+D20+D36+D27</f>
        <v>27675.596251685653</v>
      </c>
      <c r="E45" s="73"/>
      <c r="F45" s="74"/>
    </row>
    <row r="46" spans="1:8" s="68" customFormat="1" ht="12.75" customHeight="1" outlineLevel="1">
      <c r="A46" s="73"/>
      <c r="B46" s="65"/>
      <c r="C46" s="73"/>
      <c r="D46" s="73"/>
      <c r="E46" s="73"/>
      <c r="F46" s="74"/>
      <c r="H46" s="72"/>
    </row>
    <row r="47" spans="1:6" s="75" customFormat="1" ht="11.25" customHeight="1" outlineLevel="1">
      <c r="A47" s="65"/>
      <c r="B47" s="65"/>
      <c r="C47" s="159" t="s">
        <v>192</v>
      </c>
      <c r="D47" s="160">
        <f>D7+D21+D37+D28</f>
        <v>11169.349406392692</v>
      </c>
      <c r="E47" s="79"/>
      <c r="F47" s="78"/>
    </row>
    <row r="48" spans="1:5" ht="12" customHeight="1" outlineLevel="1">
      <c r="A48" s="76"/>
      <c r="B48" s="77"/>
      <c r="C48" s="161" t="s">
        <v>193</v>
      </c>
      <c r="D48" s="162">
        <f>D8+D22+D38+D29</f>
        <v>3395.482219543378</v>
      </c>
      <c r="E48" s="79"/>
    </row>
    <row r="49" spans="3:5" ht="12" customHeight="1" outlineLevel="1">
      <c r="C49" s="159" t="s">
        <v>194</v>
      </c>
      <c r="D49" s="160">
        <f>D10+D24+D40+D31</f>
        <v>10831.476310897197</v>
      </c>
      <c r="E49" s="79"/>
    </row>
    <row r="50" spans="3:5" ht="12.75" outlineLevel="1">
      <c r="C50" s="159" t="s">
        <v>195</v>
      </c>
      <c r="D50" s="160">
        <f>D11+D25+D41+D32</f>
        <v>2231.809490023945</v>
      </c>
      <c r="E50" s="79"/>
    </row>
    <row r="51" spans="3:5" ht="12.75" outlineLevel="1">
      <c r="C51" s="159" t="s">
        <v>196</v>
      </c>
      <c r="D51" s="160">
        <f>D12+D26+D42+D33</f>
        <v>47.47882482843892</v>
      </c>
      <c r="E51" s="79"/>
    </row>
    <row r="52" spans="3:5" ht="12.75" outlineLevel="1">
      <c r="C52" s="159"/>
      <c r="D52" s="171">
        <f>SUM(D47:D51)</f>
        <v>27675.59625168565</v>
      </c>
      <c r="E52" s="79"/>
    </row>
    <row r="53" spans="3:5" ht="12.75">
      <c r="C53" s="79"/>
      <c r="D53" s="79"/>
      <c r="E53" s="79"/>
    </row>
    <row r="54" spans="2:5" ht="15.75">
      <c r="B54" s="261" t="s">
        <v>240</v>
      </c>
      <c r="C54" s="261"/>
      <c r="D54" s="262"/>
      <c r="E54" s="262"/>
    </row>
    <row r="55" spans="3:5" ht="12.75">
      <c r="C55" s="79"/>
      <c r="D55" s="79"/>
      <c r="E55" s="79"/>
    </row>
    <row r="56" spans="3:5" ht="12.75">
      <c r="C56" s="79"/>
      <c r="D56" s="79"/>
      <c r="E56" s="79"/>
    </row>
    <row r="57" spans="3:5" ht="12.75">
      <c r="C57" s="79"/>
      <c r="D57" s="79"/>
      <c r="E57" s="79"/>
    </row>
    <row r="58" spans="3:5" ht="12.75">
      <c r="C58" s="79"/>
      <c r="D58" s="79"/>
      <c r="E58" s="79"/>
    </row>
    <row r="59" spans="3:5" ht="12.75">
      <c r="C59" s="79"/>
      <c r="D59" s="79"/>
      <c r="E59" s="79"/>
    </row>
    <row r="60" spans="3:5" ht="12.75">
      <c r="C60" s="79"/>
      <c r="D60" s="79"/>
      <c r="E60" s="79"/>
    </row>
    <row r="61" spans="3:5" ht="12.75">
      <c r="C61" s="79"/>
      <c r="D61" s="79"/>
      <c r="E61" s="79"/>
    </row>
    <row r="62" spans="3:5" ht="12.75">
      <c r="C62" s="79"/>
      <c r="D62" s="79"/>
      <c r="E62" s="79"/>
    </row>
    <row r="63" spans="3:5" ht="12.75">
      <c r="C63" s="79"/>
      <c r="D63" s="79"/>
      <c r="E63" s="79"/>
    </row>
    <row r="64" spans="3:5" ht="12.75">
      <c r="C64" s="79"/>
      <c r="D64" s="79"/>
      <c r="E64" s="79"/>
    </row>
    <row r="65" spans="3:5" ht="12.75">
      <c r="C65" s="79"/>
      <c r="D65" s="79"/>
      <c r="E65" s="79"/>
    </row>
  </sheetData>
  <sheetProtection/>
  <mergeCells count="2">
    <mergeCell ref="A2:F2"/>
    <mergeCell ref="B54:E54"/>
  </mergeCells>
  <printOptions/>
  <pageMargins left="0.7086614173228347" right="0.5118110236220472" top="0.5118110236220472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xSplit="3" ySplit="4" topLeftCell="F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4" sqref="B54:E54"/>
    </sheetView>
  </sheetViews>
  <sheetFormatPr defaultColWidth="9.140625" defaultRowHeight="12.75" outlineLevelRow="1" outlineLevelCol="1"/>
  <cols>
    <col min="1" max="1" width="7.140625" style="65" customWidth="1"/>
    <col min="2" max="2" width="81.8515625" style="65" customWidth="1"/>
    <col min="3" max="3" width="14.28125" style="65" customWidth="1" outlineLevel="1"/>
    <col min="4" max="4" width="19.00390625" style="65" customWidth="1"/>
    <col min="5" max="5" width="14.28125" style="65" customWidth="1"/>
    <col min="6" max="6" width="16.7109375" style="78" customWidth="1"/>
    <col min="7" max="7" width="12.421875" style="66" hidden="1" customWidth="1"/>
    <col min="8" max="8" width="9.28125" style="66" customWidth="1"/>
    <col min="9" max="9" width="12.8515625" style="66" customWidth="1"/>
    <col min="10" max="10" width="12.28125" style="66" customWidth="1"/>
    <col min="11" max="16384" width="9.140625" style="66" customWidth="1"/>
  </cols>
  <sheetData>
    <row r="1" spans="1:10" ht="12.75">
      <c r="A1" s="79"/>
      <c r="B1" s="79"/>
      <c r="C1" s="79"/>
      <c r="D1" s="79"/>
      <c r="E1" s="79"/>
      <c r="F1" s="80"/>
      <c r="G1" s="21"/>
      <c r="H1" s="21"/>
      <c r="I1" s="21"/>
      <c r="J1" s="21"/>
    </row>
    <row r="2" spans="1:10" ht="87" customHeight="1">
      <c r="A2" s="271" t="s">
        <v>230</v>
      </c>
      <c r="B2" s="271"/>
      <c r="C2" s="271"/>
      <c r="D2" s="272"/>
      <c r="E2" s="272"/>
      <c r="F2" s="272"/>
      <c r="G2" s="21"/>
      <c r="H2" s="21"/>
      <c r="I2" s="21"/>
      <c r="J2" s="21"/>
    </row>
    <row r="3" spans="1:11" s="68" customFormat="1" ht="74.25" customHeight="1">
      <c r="A3" s="87" t="s">
        <v>49</v>
      </c>
      <c r="B3" s="87" t="s">
        <v>50</v>
      </c>
      <c r="C3" s="88" t="s">
        <v>51</v>
      </c>
      <c r="D3" s="67" t="s">
        <v>52</v>
      </c>
      <c r="E3" s="67" t="s">
        <v>53</v>
      </c>
      <c r="F3" s="67" t="s">
        <v>54</v>
      </c>
      <c r="G3" s="89" t="s">
        <v>55</v>
      </c>
      <c r="H3" s="90" t="s">
        <v>224</v>
      </c>
      <c r="I3" s="81">
        <v>3</v>
      </c>
      <c r="J3" s="81">
        <v>180</v>
      </c>
      <c r="K3" s="66"/>
    </row>
    <row r="4" spans="1:11" s="68" customFormat="1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91">
        <v>6</v>
      </c>
      <c r="G4" s="21"/>
      <c r="H4" s="92"/>
      <c r="I4" s="81" t="s">
        <v>56</v>
      </c>
      <c r="J4" s="81" t="s">
        <v>57</v>
      </c>
      <c r="K4" s="66"/>
    </row>
    <row r="5" spans="1:11" s="69" customFormat="1" ht="15.75" outlineLevel="1">
      <c r="A5" s="93"/>
      <c r="B5" s="94" t="s">
        <v>58</v>
      </c>
      <c r="C5" s="147">
        <f>SUM(C6,C13,C14,C20,C27,C36)</f>
        <v>5297.44486715637</v>
      </c>
      <c r="D5" s="147">
        <f>D6+D20+D27+D36</f>
        <v>15892.334601469109</v>
      </c>
      <c r="E5" s="147">
        <f>J3</f>
        <v>180</v>
      </c>
      <c r="F5" s="147">
        <f>SUM(F6,F13,F14,F20,F27,F36)</f>
        <v>88.29274778593948</v>
      </c>
      <c r="G5" s="95"/>
      <c r="H5" s="96"/>
      <c r="I5" s="97"/>
      <c r="J5" s="22">
        <f>J3/I3</f>
        <v>60</v>
      </c>
      <c r="K5" s="98"/>
    </row>
    <row r="6" spans="1:11" s="68" customFormat="1" ht="34.5" customHeight="1">
      <c r="A6" s="93" t="s">
        <v>0</v>
      </c>
      <c r="B6" s="94" t="s">
        <v>59</v>
      </c>
      <c r="C6" s="147">
        <f>SUM(C7:C12)</f>
        <v>2428.311964176786</v>
      </c>
      <c r="D6" s="147">
        <f>SUM(D7:D12)</f>
        <v>7284.9358925303595</v>
      </c>
      <c r="E6" s="147">
        <f aca="true" t="shared" si="0" ref="E6:E12">E5</f>
        <v>180</v>
      </c>
      <c r="F6" s="147">
        <f>SUM(F7:F12)+0.002</f>
        <v>40.4738660696131</v>
      </c>
      <c r="G6" s="100" t="e">
        <f>SUM(G7:G10)</f>
        <v>#REF!</v>
      </c>
      <c r="H6" s="101"/>
      <c r="I6" s="21"/>
      <c r="J6" s="22"/>
      <c r="K6" s="66"/>
    </row>
    <row r="7" spans="1:10" ht="12.75" outlineLevel="1">
      <c r="A7" s="82" t="s">
        <v>60</v>
      </c>
      <c r="B7" s="83" t="s">
        <v>61</v>
      </c>
      <c r="C7" s="148">
        <f>'Расшифровка затрат'!G16</f>
        <v>1313.2960730593604</v>
      </c>
      <c r="D7" s="148">
        <f aca="true" t="shared" si="1" ref="D7:D12">C7*$I$3</f>
        <v>3939.8882191780813</v>
      </c>
      <c r="E7" s="148">
        <f t="shared" si="0"/>
        <v>180</v>
      </c>
      <c r="F7" s="102">
        <f aca="true" t="shared" si="2" ref="F7:F12">D7/E7</f>
        <v>21.888267884322673</v>
      </c>
      <c r="G7" s="84" t="e">
        <f>C7/#REF!</f>
        <v>#REF!</v>
      </c>
      <c r="H7" s="182"/>
      <c r="I7" s="183"/>
      <c r="J7" s="96"/>
    </row>
    <row r="8" spans="1:10" ht="12.75" outlineLevel="1">
      <c r="A8" s="82" t="s">
        <v>62</v>
      </c>
      <c r="B8" s="83" t="s">
        <v>7</v>
      </c>
      <c r="C8" s="148">
        <f>'Расшифровка затрат'!G17</f>
        <v>399.24200621004553</v>
      </c>
      <c r="D8" s="148">
        <f t="shared" si="1"/>
        <v>1197.7260186301367</v>
      </c>
      <c r="E8" s="148">
        <f t="shared" si="0"/>
        <v>180</v>
      </c>
      <c r="F8" s="102">
        <f t="shared" si="2"/>
        <v>6.6540334368340925</v>
      </c>
      <c r="G8" s="84"/>
      <c r="H8" s="101"/>
      <c r="I8" s="181"/>
      <c r="J8" s="85"/>
    </row>
    <row r="9" spans="1:10" ht="12.75" outlineLevel="1">
      <c r="A9" s="82" t="s">
        <v>63</v>
      </c>
      <c r="B9" s="86" t="s">
        <v>4</v>
      </c>
      <c r="C9" s="148">
        <f>'Расшифровка затрат'!O20</f>
        <v>0</v>
      </c>
      <c r="D9" s="148">
        <f t="shared" si="1"/>
        <v>0</v>
      </c>
      <c r="E9" s="148">
        <f t="shared" si="0"/>
        <v>180</v>
      </c>
      <c r="F9" s="102">
        <f t="shared" si="2"/>
        <v>0</v>
      </c>
      <c r="G9" s="84" t="e">
        <f>C9/#REF!</f>
        <v>#REF!</v>
      </c>
      <c r="H9" s="101"/>
      <c r="I9" s="85"/>
      <c r="J9" s="21"/>
    </row>
    <row r="10" spans="1:10" ht="12.75" outlineLevel="1">
      <c r="A10" s="82" t="s">
        <v>64</v>
      </c>
      <c r="B10" s="86" t="s">
        <v>19</v>
      </c>
      <c r="C10" s="148">
        <f>'Расшифровка затрат'!K20</f>
        <v>515.7845862331998</v>
      </c>
      <c r="D10" s="148">
        <f t="shared" si="1"/>
        <v>1547.3537586995994</v>
      </c>
      <c r="E10" s="148">
        <f t="shared" si="0"/>
        <v>180</v>
      </c>
      <c r="F10" s="102">
        <f t="shared" si="2"/>
        <v>8.59640977055333</v>
      </c>
      <c r="G10" s="84" t="e">
        <f>C10/#REF!</f>
        <v>#REF!</v>
      </c>
      <c r="H10" s="101"/>
      <c r="I10" s="85"/>
      <c r="J10" s="21"/>
    </row>
    <row r="11" spans="1:10" ht="12.75" outlineLevel="1">
      <c r="A11" s="82" t="s">
        <v>14</v>
      </c>
      <c r="B11" s="86" t="s">
        <v>95</v>
      </c>
      <c r="C11" s="148">
        <f>'Расшифровка затрат'!P18</f>
        <v>195.82341197286212</v>
      </c>
      <c r="D11" s="148">
        <f t="shared" si="1"/>
        <v>587.4702359185864</v>
      </c>
      <c r="E11" s="148">
        <f t="shared" si="0"/>
        <v>180</v>
      </c>
      <c r="F11" s="102">
        <f t="shared" si="2"/>
        <v>3.2637235328810354</v>
      </c>
      <c r="G11" s="84"/>
      <c r="H11" s="101"/>
      <c r="I11" s="85"/>
      <c r="J11" s="21"/>
    </row>
    <row r="12" spans="1:10" ht="12.75" outlineLevel="1">
      <c r="A12" s="82" t="s">
        <v>65</v>
      </c>
      <c r="B12" s="86" t="s">
        <v>96</v>
      </c>
      <c r="C12" s="148">
        <f>'Расшифровка затрат'!P19</f>
        <v>4.165886701318309</v>
      </c>
      <c r="D12" s="148">
        <f t="shared" si="1"/>
        <v>12.497660103954926</v>
      </c>
      <c r="E12" s="148">
        <f t="shared" si="0"/>
        <v>180</v>
      </c>
      <c r="F12" s="102">
        <f t="shared" si="2"/>
        <v>0.06943144502197181</v>
      </c>
      <c r="G12" s="84"/>
      <c r="H12" s="101"/>
      <c r="I12" s="85"/>
      <c r="J12" s="21"/>
    </row>
    <row r="13" spans="1:11" s="68" customFormat="1" ht="44.25" customHeight="1">
      <c r="A13" s="87" t="s">
        <v>1</v>
      </c>
      <c r="B13" s="99" t="s">
        <v>68</v>
      </c>
      <c r="C13" s="148">
        <v>0</v>
      </c>
      <c r="D13" s="148">
        <v>0</v>
      </c>
      <c r="E13" s="148">
        <v>0</v>
      </c>
      <c r="F13" s="148">
        <v>0</v>
      </c>
      <c r="G13" s="103"/>
      <c r="H13" s="101"/>
      <c r="I13" s="85"/>
      <c r="J13" s="21"/>
      <c r="K13" s="66"/>
    </row>
    <row r="14" spans="1:11" s="68" customFormat="1" ht="37.5" customHeight="1">
      <c r="A14" s="87" t="s">
        <v>2</v>
      </c>
      <c r="B14" s="99" t="s">
        <v>69</v>
      </c>
      <c r="C14" s="148" t="s">
        <v>70</v>
      </c>
      <c r="D14" s="148" t="s">
        <v>70</v>
      </c>
      <c r="E14" s="148" t="s">
        <v>70</v>
      </c>
      <c r="F14" s="148" t="s">
        <v>70</v>
      </c>
      <c r="G14" s="103" t="e">
        <f>SUM(#REF!)</f>
        <v>#REF!</v>
      </c>
      <c r="H14" s="101"/>
      <c r="I14" s="85"/>
      <c r="J14" s="104"/>
      <c r="K14" s="66"/>
    </row>
    <row r="15" spans="1:11" s="68" customFormat="1" ht="19.5" customHeight="1">
      <c r="A15" s="87" t="s">
        <v>71</v>
      </c>
      <c r="B15" s="99" t="s">
        <v>72</v>
      </c>
      <c r="C15" s="148"/>
      <c r="D15" s="148"/>
      <c r="E15" s="148"/>
      <c r="F15" s="148"/>
      <c r="G15" s="103"/>
      <c r="H15" s="101"/>
      <c r="I15" s="85"/>
      <c r="J15" s="104"/>
      <c r="K15" s="66"/>
    </row>
    <row r="16" spans="1:11" s="68" customFormat="1" ht="15">
      <c r="A16" s="87" t="s">
        <v>73</v>
      </c>
      <c r="B16" s="99" t="s">
        <v>74</v>
      </c>
      <c r="C16" s="148"/>
      <c r="D16" s="148">
        <v>0</v>
      </c>
      <c r="E16" s="148">
        <v>0</v>
      </c>
      <c r="F16" s="148">
        <v>0</v>
      </c>
      <c r="G16" s="103"/>
      <c r="H16" s="101"/>
      <c r="I16" s="85"/>
      <c r="J16" s="104"/>
      <c r="K16" s="66"/>
    </row>
    <row r="17" spans="1:11" s="68" customFormat="1" ht="15">
      <c r="A17" s="87" t="s">
        <v>75</v>
      </c>
      <c r="B17" s="99" t="s">
        <v>76</v>
      </c>
      <c r="C17" s="148"/>
      <c r="D17" s="148">
        <v>0</v>
      </c>
      <c r="E17" s="148">
        <v>0</v>
      </c>
      <c r="F17" s="148">
        <v>0</v>
      </c>
      <c r="G17" s="103"/>
      <c r="H17" s="101"/>
      <c r="I17" s="85"/>
      <c r="J17" s="104"/>
      <c r="K17" s="66"/>
    </row>
    <row r="18" spans="1:11" s="68" customFormat="1" ht="75.75" customHeight="1">
      <c r="A18" s="87" t="s">
        <v>77</v>
      </c>
      <c r="B18" s="99" t="s">
        <v>78</v>
      </c>
      <c r="C18" s="148"/>
      <c r="D18" s="148"/>
      <c r="E18" s="148"/>
      <c r="F18" s="148"/>
      <c r="G18" s="103"/>
      <c r="H18" s="101"/>
      <c r="I18" s="85"/>
      <c r="J18" s="104"/>
      <c r="K18" s="66"/>
    </row>
    <row r="19" spans="1:11" s="68" customFormat="1" ht="53.25" customHeight="1">
      <c r="A19" s="87" t="s">
        <v>79</v>
      </c>
      <c r="B19" s="99" t="s">
        <v>80</v>
      </c>
      <c r="C19" s="148"/>
      <c r="D19" s="148">
        <v>0</v>
      </c>
      <c r="E19" s="148">
        <v>0</v>
      </c>
      <c r="F19" s="148">
        <v>0</v>
      </c>
      <c r="G19" s="103"/>
      <c r="H19" s="101"/>
      <c r="I19" s="85"/>
      <c r="J19" s="104"/>
      <c r="K19" s="66"/>
    </row>
    <row r="20" spans="1:11" s="68" customFormat="1" ht="24.75" customHeight="1">
      <c r="A20" s="93" t="s">
        <v>3</v>
      </c>
      <c r="B20" s="94" t="s">
        <v>81</v>
      </c>
      <c r="C20" s="147">
        <f>SUM(C21:C26)</f>
        <v>684.8454918754277</v>
      </c>
      <c r="D20" s="147">
        <f>SUM(D21:D26)</f>
        <v>2054.536475626283</v>
      </c>
      <c r="E20" s="147">
        <f>J3</f>
        <v>180</v>
      </c>
      <c r="F20" s="147">
        <f>SUM(F21:F26)</f>
        <v>11.414091531257128</v>
      </c>
      <c r="G20" s="84" t="e">
        <f>C20/#REF!</f>
        <v>#REF!</v>
      </c>
      <c r="H20" s="101"/>
      <c r="I20" s="85"/>
      <c r="J20" s="21"/>
      <c r="K20" s="66"/>
    </row>
    <row r="21" spans="1:10" ht="12.75" outlineLevel="1">
      <c r="A21" s="82" t="s">
        <v>11</v>
      </c>
      <c r="B21" s="83" t="s">
        <v>61</v>
      </c>
      <c r="C21" s="148">
        <f>'Расшифровка затрат'!G28</f>
        <v>284.1649923896499</v>
      </c>
      <c r="D21" s="148">
        <f aca="true" t="shared" si="3" ref="D21:D26">C21*$I$3</f>
        <v>852.4949771689497</v>
      </c>
      <c r="E21" s="148">
        <f aca="true" t="shared" si="4" ref="E21:E26">E20</f>
        <v>180</v>
      </c>
      <c r="F21" s="102">
        <f aca="true" t="shared" si="5" ref="F21:F26">D21/E21</f>
        <v>4.736083206494166</v>
      </c>
      <c r="G21" s="84"/>
      <c r="H21" s="101"/>
      <c r="I21" s="85"/>
      <c r="J21" s="21"/>
    </row>
    <row r="22" spans="1:10" ht="12.75" outlineLevel="1">
      <c r="A22" s="82" t="s">
        <v>12</v>
      </c>
      <c r="B22" s="83" t="s">
        <v>7</v>
      </c>
      <c r="C22" s="148">
        <f>'Расшифровка затрат'!G29</f>
        <v>86.38615768645357</v>
      </c>
      <c r="D22" s="148">
        <f t="shared" si="3"/>
        <v>259.15847305936074</v>
      </c>
      <c r="E22" s="148">
        <f t="shared" si="4"/>
        <v>180</v>
      </c>
      <c r="F22" s="102">
        <f t="shared" si="5"/>
        <v>1.4397692947742264</v>
      </c>
      <c r="G22" s="84"/>
      <c r="H22" s="101"/>
      <c r="I22" s="85"/>
      <c r="J22" s="21"/>
    </row>
    <row r="23" spans="1:10" ht="12.75" outlineLevel="1">
      <c r="A23" s="82" t="s">
        <v>13</v>
      </c>
      <c r="B23" s="86" t="s">
        <v>4</v>
      </c>
      <c r="C23" s="148">
        <v>0</v>
      </c>
      <c r="D23" s="148">
        <f t="shared" si="3"/>
        <v>0</v>
      </c>
      <c r="E23" s="148">
        <f t="shared" si="4"/>
        <v>180</v>
      </c>
      <c r="F23" s="102">
        <f t="shared" si="5"/>
        <v>0</v>
      </c>
      <c r="G23" s="84"/>
      <c r="H23" s="101"/>
      <c r="I23" s="85"/>
      <c r="J23" s="21"/>
    </row>
    <row r="24" spans="1:10" ht="12.75" outlineLevel="1">
      <c r="A24" s="82" t="s">
        <v>82</v>
      </c>
      <c r="B24" s="86" t="s">
        <v>19</v>
      </c>
      <c r="C24" s="148">
        <f>'Расшифровка затрат'!K32</f>
        <v>257.8922931165999</v>
      </c>
      <c r="D24" s="148">
        <f t="shared" si="3"/>
        <v>773.6768793497997</v>
      </c>
      <c r="E24" s="148">
        <f t="shared" si="4"/>
        <v>180</v>
      </c>
      <c r="F24" s="102">
        <f t="shared" si="5"/>
        <v>4.298204885276665</v>
      </c>
      <c r="G24" s="84"/>
      <c r="H24" s="101"/>
      <c r="I24" s="85"/>
      <c r="J24" s="21"/>
    </row>
    <row r="25" spans="1:10" ht="12.75" outlineLevel="1">
      <c r="A25" s="82" t="s">
        <v>83</v>
      </c>
      <c r="B25" s="86" t="s">
        <v>95</v>
      </c>
      <c r="C25" s="148">
        <f>'Расшифровка затрат'!P30</f>
        <v>55.22716309588459</v>
      </c>
      <c r="D25" s="148">
        <f t="shared" si="3"/>
        <v>165.6814892876538</v>
      </c>
      <c r="E25" s="148">
        <f t="shared" si="4"/>
        <v>180</v>
      </c>
      <c r="F25" s="102">
        <f t="shared" si="5"/>
        <v>0.9204527182647433</v>
      </c>
      <c r="G25" s="84"/>
      <c r="H25" s="101"/>
      <c r="I25" s="85"/>
      <c r="J25" s="21"/>
    </row>
    <row r="26" spans="1:10" ht="12.75" outlineLevel="1">
      <c r="A26" s="82" t="s">
        <v>84</v>
      </c>
      <c r="B26" s="86" t="s">
        <v>96</v>
      </c>
      <c r="C26" s="148">
        <f>'Расшифровка затрат'!P31</f>
        <v>1.1748855868396717</v>
      </c>
      <c r="D26" s="148">
        <f t="shared" si="3"/>
        <v>3.524656760519015</v>
      </c>
      <c r="E26" s="148">
        <f t="shared" si="4"/>
        <v>180</v>
      </c>
      <c r="F26" s="102">
        <f t="shared" si="5"/>
        <v>0.01958142644732786</v>
      </c>
      <c r="G26" s="84"/>
      <c r="H26" s="101"/>
      <c r="I26" s="85"/>
      <c r="J26" s="21"/>
    </row>
    <row r="27" spans="1:11" s="68" customFormat="1" ht="33.75" customHeight="1">
      <c r="A27" s="93" t="s">
        <v>10</v>
      </c>
      <c r="B27" s="94" t="s">
        <v>85</v>
      </c>
      <c r="C27" s="147">
        <f>SUM(C28:C35)</f>
        <v>0</v>
      </c>
      <c r="D27" s="147">
        <f>SUM(D28:D35)</f>
        <v>0</v>
      </c>
      <c r="E27" s="147">
        <f>J3</f>
        <v>180</v>
      </c>
      <c r="F27" s="147">
        <f>SUM(F28:F35)</f>
        <v>0</v>
      </c>
      <c r="G27" s="84" t="e">
        <f>C27/#REF!</f>
        <v>#REF!</v>
      </c>
      <c r="H27" s="101"/>
      <c r="I27" s="85"/>
      <c r="J27" s="21"/>
      <c r="K27" s="66"/>
    </row>
    <row r="28" spans="1:10" ht="12.75" outlineLevel="1">
      <c r="A28" s="82" t="s">
        <v>33</v>
      </c>
      <c r="B28" s="83" t="s">
        <v>61</v>
      </c>
      <c r="C28" s="148">
        <v>0</v>
      </c>
      <c r="D28" s="148">
        <f aca="true" t="shared" si="6" ref="D28:D33">C28*$I$7</f>
        <v>0</v>
      </c>
      <c r="E28" s="148">
        <f aca="true" t="shared" si="7" ref="E28:E33">E27</f>
        <v>180</v>
      </c>
      <c r="F28" s="102">
        <f>D28/E28</f>
        <v>0</v>
      </c>
      <c r="G28" s="84"/>
      <c r="H28" s="101"/>
      <c r="I28" s="85"/>
      <c r="J28" s="21"/>
    </row>
    <row r="29" spans="1:10" ht="12.75" outlineLevel="1">
      <c r="A29" s="82" t="s">
        <v>34</v>
      </c>
      <c r="B29" s="83" t="s">
        <v>7</v>
      </c>
      <c r="C29" s="148">
        <v>0</v>
      </c>
      <c r="D29" s="148">
        <f t="shared" si="6"/>
        <v>0</v>
      </c>
      <c r="E29" s="148">
        <f t="shared" si="7"/>
        <v>180</v>
      </c>
      <c r="F29" s="102">
        <f aca="true" t="shared" si="8" ref="F29:F35">D29/E29</f>
        <v>0</v>
      </c>
      <c r="G29" s="84"/>
      <c r="H29" s="101"/>
      <c r="I29" s="85"/>
      <c r="J29" s="21"/>
    </row>
    <row r="30" spans="1:10" ht="12.75" outlineLevel="1">
      <c r="A30" s="82" t="s">
        <v>35</v>
      </c>
      <c r="B30" s="86" t="s">
        <v>4</v>
      </c>
      <c r="C30" s="148">
        <v>0</v>
      </c>
      <c r="D30" s="148">
        <f t="shared" si="6"/>
        <v>0</v>
      </c>
      <c r="E30" s="148">
        <f t="shared" si="7"/>
        <v>180</v>
      </c>
      <c r="F30" s="102">
        <f t="shared" si="8"/>
        <v>0</v>
      </c>
      <c r="G30" s="84"/>
      <c r="H30" s="101"/>
      <c r="I30" s="85"/>
      <c r="J30" s="21"/>
    </row>
    <row r="31" spans="1:10" ht="12.75" outlineLevel="1">
      <c r="A31" s="82" t="s">
        <v>86</v>
      </c>
      <c r="B31" s="86" t="s">
        <v>19</v>
      </c>
      <c r="C31" s="148">
        <v>0</v>
      </c>
      <c r="D31" s="148">
        <f t="shared" si="6"/>
        <v>0</v>
      </c>
      <c r="E31" s="148">
        <f t="shared" si="7"/>
        <v>180</v>
      </c>
      <c r="F31" s="102">
        <f t="shared" si="8"/>
        <v>0</v>
      </c>
      <c r="G31" s="84"/>
      <c r="H31" s="101"/>
      <c r="I31" s="85"/>
      <c r="J31" s="21"/>
    </row>
    <row r="32" spans="1:10" ht="12.75" outlineLevel="1">
      <c r="A32" s="82" t="s">
        <v>87</v>
      </c>
      <c r="B32" s="86" t="s">
        <v>95</v>
      </c>
      <c r="C32" s="148">
        <v>0</v>
      </c>
      <c r="D32" s="148">
        <f t="shared" si="6"/>
        <v>0</v>
      </c>
      <c r="E32" s="148">
        <f t="shared" si="7"/>
        <v>180</v>
      </c>
      <c r="F32" s="102">
        <f t="shared" si="8"/>
        <v>0</v>
      </c>
      <c r="G32" s="84"/>
      <c r="H32" s="101"/>
      <c r="I32" s="85"/>
      <c r="J32" s="21"/>
    </row>
    <row r="33" spans="1:10" ht="12.75" outlineLevel="1">
      <c r="A33" s="82" t="s">
        <v>88</v>
      </c>
      <c r="B33" s="86" t="s">
        <v>96</v>
      </c>
      <c r="C33" s="148">
        <v>0</v>
      </c>
      <c r="D33" s="148">
        <f t="shared" si="6"/>
        <v>0</v>
      </c>
      <c r="E33" s="148">
        <f t="shared" si="7"/>
        <v>180</v>
      </c>
      <c r="F33" s="102">
        <f t="shared" si="8"/>
        <v>0</v>
      </c>
      <c r="G33" s="84"/>
      <c r="H33" s="101"/>
      <c r="I33" s="85"/>
      <c r="J33" s="21"/>
    </row>
    <row r="34" spans="1:10" ht="12.75" hidden="1" outlineLevel="1">
      <c r="A34" s="82" t="s">
        <v>89</v>
      </c>
      <c r="B34" s="44" t="s">
        <v>210</v>
      </c>
      <c r="C34" s="148">
        <v>0</v>
      </c>
      <c r="D34" s="148">
        <f>C34*$I$3</f>
        <v>0</v>
      </c>
      <c r="E34" s="148">
        <f>$J$3</f>
        <v>180</v>
      </c>
      <c r="F34" s="102">
        <f t="shared" si="8"/>
        <v>0</v>
      </c>
      <c r="G34" s="84"/>
      <c r="H34" s="101"/>
      <c r="I34" s="85"/>
      <c r="J34" s="21"/>
    </row>
    <row r="35" spans="1:10" ht="12.75" hidden="1" outlineLevel="1">
      <c r="A35" s="82" t="s">
        <v>90</v>
      </c>
      <c r="B35" s="44" t="s">
        <v>211</v>
      </c>
      <c r="C35" s="148">
        <v>0</v>
      </c>
      <c r="D35" s="148">
        <f>C35*$I$3</f>
        <v>0</v>
      </c>
      <c r="E35" s="148">
        <f>$J$3</f>
        <v>180</v>
      </c>
      <c r="F35" s="102">
        <f t="shared" si="8"/>
        <v>0</v>
      </c>
      <c r="G35" s="84"/>
      <c r="H35" s="101"/>
      <c r="I35" s="85"/>
      <c r="J35" s="21"/>
    </row>
    <row r="36" spans="1:11" s="68" customFormat="1" ht="38.25" customHeight="1" collapsed="1">
      <c r="A36" s="93" t="s">
        <v>17</v>
      </c>
      <c r="B36" s="94" t="s">
        <v>91</v>
      </c>
      <c r="C36" s="147">
        <f>SUM(C37:C42)</f>
        <v>2184.2874111041556</v>
      </c>
      <c r="D36" s="147">
        <f>SUM(D37:D42)</f>
        <v>6552.862233312466</v>
      </c>
      <c r="E36" s="147">
        <f>J3</f>
        <v>180</v>
      </c>
      <c r="F36" s="147">
        <f>SUM(F37:F42)</f>
        <v>36.40479018506925</v>
      </c>
      <c r="G36" s="84" t="e">
        <f>C36/#REF!</f>
        <v>#REF!</v>
      </c>
      <c r="H36" s="101"/>
      <c r="I36" s="85"/>
      <c r="J36" s="21"/>
      <c r="K36" s="66"/>
    </row>
    <row r="37" spans="1:9" ht="12.75" outlineLevel="1">
      <c r="A37" s="82" t="s">
        <v>42</v>
      </c>
      <c r="B37" s="83" t="s">
        <v>61</v>
      </c>
      <c r="C37" s="148">
        <f>'Расшифровка затрат'!G48</f>
        <v>548.2621613394216</v>
      </c>
      <c r="D37" s="148">
        <f aca="true" t="shared" si="9" ref="D37:D42">C37*$I$3</f>
        <v>1644.7864840182647</v>
      </c>
      <c r="E37" s="148">
        <f aca="true" t="shared" si="10" ref="E37:E42">E36</f>
        <v>180</v>
      </c>
      <c r="F37" s="102">
        <f aca="true" t="shared" si="11" ref="F37:F42">D37/E37</f>
        <v>9.137702688990359</v>
      </c>
      <c r="G37" s="70"/>
      <c r="I37" s="71"/>
    </row>
    <row r="38" spans="1:9" ht="12.75" outlineLevel="1">
      <c r="A38" s="82" t="s">
        <v>48</v>
      </c>
      <c r="B38" s="83" t="s">
        <v>7</v>
      </c>
      <c r="C38" s="148">
        <f>'Расшифровка затрат'!G49</f>
        <v>166.67169704718415</v>
      </c>
      <c r="D38" s="148">
        <f t="shared" si="9"/>
        <v>500.0150911415525</v>
      </c>
      <c r="E38" s="148">
        <f t="shared" si="10"/>
        <v>180</v>
      </c>
      <c r="F38" s="102">
        <f t="shared" si="11"/>
        <v>2.7778616174530693</v>
      </c>
      <c r="G38" s="70"/>
      <c r="I38" s="71"/>
    </row>
    <row r="39" spans="1:9" ht="12.75" outlineLevel="1">
      <c r="A39" s="82" t="s">
        <v>92</v>
      </c>
      <c r="B39" s="86" t="s">
        <v>4</v>
      </c>
      <c r="C39" s="148">
        <f>'Расшифровка затрат'!O52</f>
        <v>0</v>
      </c>
      <c r="D39" s="148">
        <f t="shared" si="9"/>
        <v>0</v>
      </c>
      <c r="E39" s="148">
        <f t="shared" si="10"/>
        <v>180</v>
      </c>
      <c r="F39" s="102">
        <f t="shared" si="11"/>
        <v>0</v>
      </c>
      <c r="G39" s="70"/>
      <c r="I39" s="71"/>
    </row>
    <row r="40" spans="1:9" ht="12.75" outlineLevel="1">
      <c r="A40" s="82" t="s">
        <v>93</v>
      </c>
      <c r="B40" s="86" t="s">
        <v>19</v>
      </c>
      <c r="C40" s="148">
        <f>'Расшифровка затрат'!K52</f>
        <v>1289.4614655829994</v>
      </c>
      <c r="D40" s="148">
        <f t="shared" si="9"/>
        <v>3868.3843967489984</v>
      </c>
      <c r="E40" s="148">
        <f t="shared" si="10"/>
        <v>180</v>
      </c>
      <c r="F40" s="102">
        <f t="shared" si="11"/>
        <v>21.491024426383323</v>
      </c>
      <c r="G40" s="70"/>
      <c r="I40" s="71"/>
    </row>
    <row r="41" spans="1:9" ht="12.75" outlineLevel="1">
      <c r="A41" s="82" t="s">
        <v>94</v>
      </c>
      <c r="B41" s="86" t="s">
        <v>95</v>
      </c>
      <c r="C41" s="148">
        <f>'Расшифровка затрат'!P50</f>
        <v>176.14483636446207</v>
      </c>
      <c r="D41" s="148">
        <f t="shared" si="9"/>
        <v>528.4345090933862</v>
      </c>
      <c r="E41" s="148">
        <f t="shared" si="10"/>
        <v>180</v>
      </c>
      <c r="F41" s="102">
        <f t="shared" si="11"/>
        <v>2.9357472727410343</v>
      </c>
      <c r="G41" s="70"/>
      <c r="I41" s="71"/>
    </row>
    <row r="42" spans="1:9" ht="12.75" outlineLevel="1">
      <c r="A42" s="82" t="s">
        <v>32</v>
      </c>
      <c r="B42" s="86" t="s">
        <v>96</v>
      </c>
      <c r="C42" s="148">
        <f>'Расшифровка затрат'!P51</f>
        <v>3.747250770088178</v>
      </c>
      <c r="D42" s="148">
        <f t="shared" si="9"/>
        <v>11.241752310264534</v>
      </c>
      <c r="E42" s="148">
        <f t="shared" si="10"/>
        <v>180</v>
      </c>
      <c r="F42" s="102">
        <f t="shared" si="11"/>
        <v>0.062454179501469635</v>
      </c>
      <c r="G42" s="70"/>
      <c r="I42" s="71"/>
    </row>
    <row r="43" spans="1:9" ht="12.75">
      <c r="A43" s="230"/>
      <c r="B43" s="231"/>
      <c r="C43" s="232"/>
      <c r="D43" s="232"/>
      <c r="E43" s="232"/>
      <c r="F43" s="233"/>
      <c r="G43" s="70"/>
      <c r="I43" s="71"/>
    </row>
    <row r="44" spans="1:9" ht="12.75">
      <c r="A44" s="230"/>
      <c r="B44" s="231"/>
      <c r="C44" s="232"/>
      <c r="D44" s="232"/>
      <c r="E44" s="232"/>
      <c r="F44" s="233"/>
      <c r="G44" s="70"/>
      <c r="I44" s="71"/>
    </row>
    <row r="45" spans="1:6" s="68" customFormat="1" ht="15" hidden="1" outlineLevel="1">
      <c r="A45" s="73"/>
      <c r="B45" s="73"/>
      <c r="C45" s="73"/>
      <c r="D45" s="126">
        <f>D6+D20+D36+D27</f>
        <v>15892.334601469109</v>
      </c>
      <c r="E45" s="73"/>
      <c r="F45" s="74"/>
    </row>
    <row r="46" spans="1:8" s="68" customFormat="1" ht="12.75" customHeight="1" hidden="1" outlineLevel="1">
      <c r="A46" s="73"/>
      <c r="B46" s="65"/>
      <c r="C46" s="73"/>
      <c r="D46" s="73"/>
      <c r="E46" s="73"/>
      <c r="F46" s="74"/>
      <c r="H46" s="72"/>
    </row>
    <row r="47" spans="1:6" s="75" customFormat="1" ht="11.25" customHeight="1" hidden="1" outlineLevel="1">
      <c r="A47" s="65"/>
      <c r="B47" s="65"/>
      <c r="C47" s="159" t="s">
        <v>192</v>
      </c>
      <c r="D47" s="160">
        <f>D7+D21+D37+D28</f>
        <v>6437.169680365296</v>
      </c>
      <c r="E47" s="79"/>
      <c r="F47" s="78"/>
    </row>
    <row r="48" spans="1:5" ht="12" customHeight="1" hidden="1" outlineLevel="1">
      <c r="A48" s="76"/>
      <c r="B48" s="77"/>
      <c r="C48" s="161" t="s">
        <v>193</v>
      </c>
      <c r="D48" s="162">
        <f>D8+D22+D38+D29</f>
        <v>1956.8995828310499</v>
      </c>
      <c r="E48" s="79"/>
    </row>
    <row r="49" spans="3:5" ht="12" customHeight="1" hidden="1" outlineLevel="1">
      <c r="C49" s="159" t="s">
        <v>194</v>
      </c>
      <c r="D49" s="160">
        <f>D10+D24+D40+D31</f>
        <v>6189.415034798398</v>
      </c>
      <c r="E49" s="79"/>
    </row>
    <row r="50" spans="3:5" ht="12.75" hidden="1" outlineLevel="1">
      <c r="C50" s="159" t="s">
        <v>195</v>
      </c>
      <c r="D50" s="160">
        <f>D11+D25+D41+D32</f>
        <v>1281.5862342996263</v>
      </c>
      <c r="E50" s="79"/>
    </row>
    <row r="51" spans="3:5" ht="12.75" hidden="1" outlineLevel="1">
      <c r="C51" s="159" t="s">
        <v>196</v>
      </c>
      <c r="D51" s="160">
        <f>D12+D26+D42+D33</f>
        <v>27.264069174738477</v>
      </c>
      <c r="E51" s="79"/>
    </row>
    <row r="52" spans="3:5" ht="12.75" hidden="1" outlineLevel="1">
      <c r="C52" s="159"/>
      <c r="D52" s="160">
        <f>SUM(D47:D51)</f>
        <v>15892.334601469109</v>
      </c>
      <c r="E52" s="79"/>
    </row>
    <row r="53" spans="3:5" ht="12.75" collapsed="1">
      <c r="C53" s="79"/>
      <c r="D53" s="79"/>
      <c r="E53" s="79"/>
    </row>
    <row r="54" spans="2:5" ht="15.75">
      <c r="B54" s="261" t="s">
        <v>240</v>
      </c>
      <c r="C54" s="261"/>
      <c r="D54" s="262"/>
      <c r="E54" s="262"/>
    </row>
    <row r="55" spans="3:5" ht="12.75">
      <c r="C55" s="79"/>
      <c r="D55" s="79"/>
      <c r="E55" s="79"/>
    </row>
    <row r="56" spans="3:5" ht="12.75">
      <c r="C56" s="79"/>
      <c r="D56" s="79"/>
      <c r="E56" s="79"/>
    </row>
    <row r="57" spans="3:5" ht="12.75">
      <c r="C57" s="79"/>
      <c r="D57" s="79"/>
      <c r="E57" s="79"/>
    </row>
    <row r="58" spans="3:5" ht="12.75">
      <c r="C58" s="79"/>
      <c r="D58" s="79"/>
      <c r="E58" s="79"/>
    </row>
    <row r="59" spans="3:5" ht="12.75">
      <c r="C59" s="79"/>
      <c r="D59" s="79"/>
      <c r="E59" s="79"/>
    </row>
    <row r="60" spans="3:5" ht="12.75">
      <c r="C60" s="79"/>
      <c r="D60" s="79"/>
      <c r="E60" s="79"/>
    </row>
    <row r="61" spans="3:5" ht="12.75">
      <c r="C61" s="79"/>
      <c r="D61" s="79"/>
      <c r="E61" s="79"/>
    </row>
    <row r="62" spans="3:5" ht="12.75">
      <c r="C62" s="79"/>
      <c r="D62" s="79"/>
      <c r="E62" s="79"/>
    </row>
    <row r="63" spans="3:5" ht="12.75">
      <c r="C63" s="79"/>
      <c r="D63" s="79"/>
      <c r="E63" s="79"/>
    </row>
    <row r="64" spans="3:5" ht="12.75">
      <c r="C64" s="79"/>
      <c r="D64" s="79"/>
      <c r="E64" s="79"/>
    </row>
    <row r="65" spans="3:5" ht="12.75">
      <c r="C65" s="79"/>
      <c r="D65" s="79"/>
      <c r="E65" s="79"/>
    </row>
  </sheetData>
  <sheetProtection/>
  <mergeCells count="2">
    <mergeCell ref="A2:F2"/>
    <mergeCell ref="B54:E54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pane xSplit="2" ySplit="3" topLeftCell="E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5" sqref="B55:E55"/>
    </sheetView>
  </sheetViews>
  <sheetFormatPr defaultColWidth="9.140625" defaultRowHeight="12.75" outlineLevelRow="1" outlineLevelCol="1"/>
  <cols>
    <col min="1" max="1" width="7.140625" style="65" customWidth="1"/>
    <col min="2" max="2" width="81.8515625" style="65" customWidth="1"/>
    <col min="3" max="3" width="14.28125" style="65" customWidth="1" outlineLevel="1"/>
    <col min="4" max="4" width="19.00390625" style="65" customWidth="1"/>
    <col min="5" max="5" width="14.28125" style="65" customWidth="1"/>
    <col min="6" max="6" width="16.7109375" style="78" customWidth="1"/>
    <col min="7" max="7" width="12.421875" style="66" hidden="1" customWidth="1"/>
    <col min="8" max="8" width="8.28125" style="66" customWidth="1"/>
    <col min="9" max="9" width="14.7109375" style="66" customWidth="1"/>
    <col min="10" max="10" width="12.7109375" style="66" bestFit="1" customWidth="1"/>
    <col min="11" max="16384" width="9.140625" style="66" customWidth="1"/>
  </cols>
  <sheetData>
    <row r="1" spans="1:10" ht="12.75">
      <c r="A1" s="79"/>
      <c r="B1" s="79"/>
      <c r="C1" s="79"/>
      <c r="D1" s="79"/>
      <c r="E1" s="79"/>
      <c r="F1" s="80"/>
      <c r="G1" s="21"/>
      <c r="H1" s="21"/>
      <c r="I1" s="21"/>
      <c r="J1" s="21"/>
    </row>
    <row r="2" spans="1:10" ht="69.75" customHeight="1">
      <c r="A2" s="271" t="s">
        <v>231</v>
      </c>
      <c r="B2" s="271"/>
      <c r="C2" s="271"/>
      <c r="D2" s="272"/>
      <c r="E2" s="272"/>
      <c r="F2" s="272"/>
      <c r="G2" s="21"/>
      <c r="H2" s="21"/>
      <c r="I2" s="21"/>
      <c r="J2" s="21"/>
    </row>
    <row r="3" spans="1:11" s="68" customFormat="1" ht="84.75" customHeight="1">
      <c r="A3" s="87" t="s">
        <v>49</v>
      </c>
      <c r="B3" s="87" t="s">
        <v>50</v>
      </c>
      <c r="C3" s="88" t="s">
        <v>51</v>
      </c>
      <c r="D3" s="67" t="s">
        <v>52</v>
      </c>
      <c r="E3" s="67" t="s">
        <v>53</v>
      </c>
      <c r="F3" s="67" t="s">
        <v>54</v>
      </c>
      <c r="G3" s="89" t="s">
        <v>55</v>
      </c>
      <c r="H3" s="90"/>
      <c r="I3" s="81">
        <v>1</v>
      </c>
      <c r="J3" s="81">
        <v>630</v>
      </c>
      <c r="K3" s="66"/>
    </row>
    <row r="4" spans="1:11" s="68" customFormat="1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91">
        <v>6</v>
      </c>
      <c r="G4" s="21"/>
      <c r="H4" s="92"/>
      <c r="I4" s="81" t="s">
        <v>56</v>
      </c>
      <c r="J4" s="81" t="s">
        <v>57</v>
      </c>
      <c r="K4" s="66"/>
    </row>
    <row r="5" spans="1:11" s="69" customFormat="1" ht="15.75" outlineLevel="1">
      <c r="A5" s="93"/>
      <c r="B5" s="94" t="s">
        <v>58</v>
      </c>
      <c r="C5" s="147">
        <f>SUM(C6,C13,C14,C20,C27,C36)</f>
        <v>5783.9791173067015</v>
      </c>
      <c r="D5" s="147">
        <f>D6+D20+D27+D36</f>
        <v>5783.9791173067015</v>
      </c>
      <c r="E5" s="147">
        <f>J3</f>
        <v>630</v>
      </c>
      <c r="F5" s="147">
        <f>SUM(F6,F13,F14,F20,F27,F36)</f>
        <v>9.18091923382016</v>
      </c>
      <c r="G5" s="95"/>
      <c r="H5" s="96"/>
      <c r="I5" s="97"/>
      <c r="J5" s="22">
        <f>J3/I3</f>
        <v>630</v>
      </c>
      <c r="K5" s="98"/>
    </row>
    <row r="6" spans="1:11" s="68" customFormat="1" ht="34.5" customHeight="1">
      <c r="A6" s="93" t="s">
        <v>0</v>
      </c>
      <c r="B6" s="94" t="s">
        <v>59</v>
      </c>
      <c r="C6" s="147">
        <f>SUM(C7:C12)</f>
        <v>2428.311964176786</v>
      </c>
      <c r="D6" s="147">
        <f>SUM(D7:D12)</f>
        <v>2428.311964176786</v>
      </c>
      <c r="E6" s="147">
        <f>$J$3</f>
        <v>630</v>
      </c>
      <c r="F6" s="147">
        <f>SUM(F7:F12)</f>
        <v>3.854463435201248</v>
      </c>
      <c r="G6" s="100" t="e">
        <f>SUM(G7:G10)</f>
        <v>#REF!</v>
      </c>
      <c r="H6" s="101"/>
      <c r="I6" s="21"/>
      <c r="J6" s="21"/>
      <c r="K6" s="66"/>
    </row>
    <row r="7" spans="1:10" ht="12.75" outlineLevel="1">
      <c r="A7" s="82" t="s">
        <v>60</v>
      </c>
      <c r="B7" s="83" t="s">
        <v>61</v>
      </c>
      <c r="C7" s="148">
        <f>'Расшифровка затрат'!G16</f>
        <v>1313.2960730593604</v>
      </c>
      <c r="D7" s="148">
        <f>C7*$I$3</f>
        <v>1313.2960730593604</v>
      </c>
      <c r="E7" s="148">
        <f aca="true" t="shared" si="0" ref="E7:E42">$J$3</f>
        <v>630</v>
      </c>
      <c r="F7" s="102">
        <f aca="true" t="shared" si="1" ref="F7:F12">D7/E7</f>
        <v>2.0845969413640644</v>
      </c>
      <c r="G7" s="84" t="e">
        <f>C7/#REF!</f>
        <v>#REF!</v>
      </c>
      <c r="H7" s="101"/>
      <c r="I7" s="85"/>
      <c r="J7" s="21"/>
    </row>
    <row r="8" spans="1:10" ht="12.75" outlineLevel="1">
      <c r="A8" s="82" t="s">
        <v>62</v>
      </c>
      <c r="B8" s="83" t="s">
        <v>7</v>
      </c>
      <c r="C8" s="148">
        <f>'Расшифровка затрат'!G17</f>
        <v>399.24200621004553</v>
      </c>
      <c r="D8" s="148">
        <f aca="true" t="shared" si="2" ref="D8:D42">C8*$I$3</f>
        <v>399.24200621004553</v>
      </c>
      <c r="E8" s="148">
        <f t="shared" si="0"/>
        <v>630</v>
      </c>
      <c r="F8" s="102">
        <f t="shared" si="1"/>
        <v>0.6337174701746755</v>
      </c>
      <c r="G8" s="84"/>
      <c r="H8" s="101"/>
      <c r="I8" s="85"/>
      <c r="J8" s="21"/>
    </row>
    <row r="9" spans="1:10" ht="12.75" outlineLevel="1">
      <c r="A9" s="82" t="s">
        <v>63</v>
      </c>
      <c r="B9" s="86" t="s">
        <v>4</v>
      </c>
      <c r="C9" s="148">
        <f>'Расшифровка затрат'!O20</f>
        <v>0</v>
      </c>
      <c r="D9" s="148">
        <f>C9*$I$3</f>
        <v>0</v>
      </c>
      <c r="E9" s="148">
        <f t="shared" si="0"/>
        <v>630</v>
      </c>
      <c r="F9" s="102">
        <f t="shared" si="1"/>
        <v>0</v>
      </c>
      <c r="G9" s="84" t="e">
        <f>C9/#REF!</f>
        <v>#REF!</v>
      </c>
      <c r="H9" s="101"/>
      <c r="I9" s="85"/>
      <c r="J9" s="21"/>
    </row>
    <row r="10" spans="1:10" ht="12.75" outlineLevel="1">
      <c r="A10" s="82" t="s">
        <v>64</v>
      </c>
      <c r="B10" s="86" t="s">
        <v>19</v>
      </c>
      <c r="C10" s="148">
        <f>'Расшифровка затрат'!K20</f>
        <v>515.7845862331998</v>
      </c>
      <c r="D10" s="148">
        <f t="shared" si="2"/>
        <v>515.7845862331998</v>
      </c>
      <c r="E10" s="148">
        <f t="shared" si="0"/>
        <v>630</v>
      </c>
      <c r="F10" s="102">
        <f t="shared" si="1"/>
        <v>0.8187056924336504</v>
      </c>
      <c r="G10" s="84" t="e">
        <f>C10/#REF!</f>
        <v>#REF!</v>
      </c>
      <c r="H10" s="101"/>
      <c r="I10" s="85"/>
      <c r="J10" s="21"/>
    </row>
    <row r="11" spans="1:10" ht="12.75" outlineLevel="1">
      <c r="A11" s="82" t="s">
        <v>14</v>
      </c>
      <c r="B11" s="86" t="s">
        <v>95</v>
      </c>
      <c r="C11" s="148">
        <f>'Расшифровка затрат'!P18</f>
        <v>195.82341197286212</v>
      </c>
      <c r="D11" s="148">
        <f t="shared" si="2"/>
        <v>195.82341197286212</v>
      </c>
      <c r="E11" s="148">
        <f t="shared" si="0"/>
        <v>630</v>
      </c>
      <c r="F11" s="102">
        <f t="shared" si="1"/>
        <v>0.3108308126553367</v>
      </c>
      <c r="G11" s="84"/>
      <c r="H11" s="101"/>
      <c r="I11" s="85"/>
      <c r="J11" s="21"/>
    </row>
    <row r="12" spans="1:10" ht="12.75" outlineLevel="1">
      <c r="A12" s="82" t="s">
        <v>65</v>
      </c>
      <c r="B12" s="86" t="s">
        <v>96</v>
      </c>
      <c r="C12" s="148">
        <f>'Расшифровка затрат'!P19</f>
        <v>4.165886701318309</v>
      </c>
      <c r="D12" s="148">
        <f t="shared" si="2"/>
        <v>4.165886701318309</v>
      </c>
      <c r="E12" s="148">
        <f t="shared" si="0"/>
        <v>630</v>
      </c>
      <c r="F12" s="102">
        <f t="shared" si="1"/>
        <v>0.006612518573521125</v>
      </c>
      <c r="G12" s="84"/>
      <c r="H12" s="101"/>
      <c r="I12" s="85"/>
      <c r="J12" s="21"/>
    </row>
    <row r="13" spans="1:11" s="68" customFormat="1" ht="44.25" customHeight="1">
      <c r="A13" s="87" t="s">
        <v>1</v>
      </c>
      <c r="B13" s="99" t="s">
        <v>68</v>
      </c>
      <c r="C13" s="148">
        <v>0</v>
      </c>
      <c r="D13" s="148">
        <v>0</v>
      </c>
      <c r="E13" s="148">
        <v>0</v>
      </c>
      <c r="F13" s="148">
        <v>0</v>
      </c>
      <c r="G13" s="103"/>
      <c r="H13" s="101"/>
      <c r="I13" s="85"/>
      <c r="J13" s="21"/>
      <c r="K13" s="66"/>
    </row>
    <row r="14" spans="1:11" s="68" customFormat="1" ht="37.5" customHeight="1">
      <c r="A14" s="87" t="s">
        <v>2</v>
      </c>
      <c r="B14" s="99" t="s">
        <v>69</v>
      </c>
      <c r="C14" s="148" t="s">
        <v>70</v>
      </c>
      <c r="D14" s="148" t="s">
        <v>70</v>
      </c>
      <c r="E14" s="148" t="s">
        <v>70</v>
      </c>
      <c r="F14" s="148" t="s">
        <v>70</v>
      </c>
      <c r="G14" s="103" t="e">
        <f>SUM(#REF!)</f>
        <v>#REF!</v>
      </c>
      <c r="H14" s="101"/>
      <c r="I14" s="85"/>
      <c r="J14" s="104"/>
      <c r="K14" s="66"/>
    </row>
    <row r="15" spans="1:11" s="68" customFormat="1" ht="19.5" customHeight="1">
      <c r="A15" s="87" t="s">
        <v>71</v>
      </c>
      <c r="B15" s="99" t="s">
        <v>72</v>
      </c>
      <c r="C15" s="148"/>
      <c r="D15" s="148"/>
      <c r="E15" s="148"/>
      <c r="F15" s="148"/>
      <c r="G15" s="103"/>
      <c r="H15" s="101"/>
      <c r="I15" s="85"/>
      <c r="J15" s="104"/>
      <c r="K15" s="66"/>
    </row>
    <row r="16" spans="1:11" s="68" customFormat="1" ht="15">
      <c r="A16" s="87" t="s">
        <v>73</v>
      </c>
      <c r="B16" s="99" t="s">
        <v>74</v>
      </c>
      <c r="C16" s="148"/>
      <c r="D16" s="148">
        <v>0</v>
      </c>
      <c r="E16" s="148">
        <v>0</v>
      </c>
      <c r="F16" s="148">
        <v>0</v>
      </c>
      <c r="G16" s="103"/>
      <c r="H16" s="101"/>
      <c r="I16" s="85"/>
      <c r="J16" s="104"/>
      <c r="K16" s="66"/>
    </row>
    <row r="17" spans="1:11" s="68" customFormat="1" ht="15">
      <c r="A17" s="87" t="s">
        <v>75</v>
      </c>
      <c r="B17" s="99" t="s">
        <v>76</v>
      </c>
      <c r="C17" s="148"/>
      <c r="D17" s="148">
        <v>0</v>
      </c>
      <c r="E17" s="148">
        <v>0</v>
      </c>
      <c r="F17" s="148">
        <v>0</v>
      </c>
      <c r="G17" s="103"/>
      <c r="H17" s="101"/>
      <c r="I17" s="85"/>
      <c r="J17" s="104"/>
      <c r="K17" s="66"/>
    </row>
    <row r="18" spans="1:11" s="68" customFormat="1" ht="75.75" customHeight="1">
      <c r="A18" s="87" t="s">
        <v>77</v>
      </c>
      <c r="B18" s="99" t="s">
        <v>78</v>
      </c>
      <c r="C18" s="148"/>
      <c r="D18" s="148"/>
      <c r="E18" s="148"/>
      <c r="F18" s="148"/>
      <c r="G18" s="103"/>
      <c r="H18" s="101"/>
      <c r="I18" s="85"/>
      <c r="J18" s="104"/>
      <c r="K18" s="66"/>
    </row>
    <row r="19" spans="1:11" s="68" customFormat="1" ht="53.25" customHeight="1">
      <c r="A19" s="87" t="s">
        <v>79</v>
      </c>
      <c r="B19" s="99" t="s">
        <v>80</v>
      </c>
      <c r="C19" s="148"/>
      <c r="D19" s="148">
        <v>0</v>
      </c>
      <c r="E19" s="148">
        <v>0</v>
      </c>
      <c r="F19" s="148">
        <v>0</v>
      </c>
      <c r="G19" s="103"/>
      <c r="H19" s="101"/>
      <c r="I19" s="85"/>
      <c r="J19" s="104"/>
      <c r="K19" s="66"/>
    </row>
    <row r="20" spans="1:11" s="68" customFormat="1" ht="24.75" customHeight="1">
      <c r="A20" s="93" t="s">
        <v>3</v>
      </c>
      <c r="B20" s="94" t="s">
        <v>81</v>
      </c>
      <c r="C20" s="147">
        <f>SUM(C21:C26)</f>
        <v>684.8454918754277</v>
      </c>
      <c r="D20" s="147">
        <f>SUM(D21:D26)</f>
        <v>684.8454918754277</v>
      </c>
      <c r="E20" s="147">
        <f t="shared" si="0"/>
        <v>630</v>
      </c>
      <c r="F20" s="147">
        <f>SUM(F21:F26)</f>
        <v>1.0870563363102026</v>
      </c>
      <c r="G20" s="84" t="e">
        <f>C20/#REF!</f>
        <v>#REF!</v>
      </c>
      <c r="H20" s="101"/>
      <c r="I20" s="85"/>
      <c r="J20" s="21"/>
      <c r="K20" s="66"/>
    </row>
    <row r="21" spans="1:10" ht="12.75" outlineLevel="1">
      <c r="A21" s="82" t="s">
        <v>11</v>
      </c>
      <c r="B21" s="83" t="s">
        <v>61</v>
      </c>
      <c r="C21" s="148">
        <f>'Расшифровка затрат'!G28</f>
        <v>284.1649923896499</v>
      </c>
      <c r="D21" s="148">
        <f t="shared" si="2"/>
        <v>284.1649923896499</v>
      </c>
      <c r="E21" s="148">
        <f t="shared" si="0"/>
        <v>630</v>
      </c>
      <c r="F21" s="102">
        <f aca="true" t="shared" si="3" ref="F21:F26">D21/E21</f>
        <v>0.45105554347563476</v>
      </c>
      <c r="G21" s="84"/>
      <c r="H21" s="101"/>
      <c r="I21" s="85"/>
      <c r="J21" s="21"/>
    </row>
    <row r="22" spans="1:10" ht="12.75" outlineLevel="1">
      <c r="A22" s="82" t="s">
        <v>12</v>
      </c>
      <c r="B22" s="83" t="s">
        <v>7</v>
      </c>
      <c r="C22" s="148">
        <f>'Расшифровка затрат'!G29</f>
        <v>86.38615768645357</v>
      </c>
      <c r="D22" s="148">
        <f t="shared" si="2"/>
        <v>86.38615768645357</v>
      </c>
      <c r="E22" s="148">
        <f t="shared" si="0"/>
        <v>630</v>
      </c>
      <c r="F22" s="102">
        <f t="shared" si="3"/>
        <v>0.13712088521659296</v>
      </c>
      <c r="G22" s="84"/>
      <c r="H22" s="101"/>
      <c r="I22" s="85"/>
      <c r="J22" s="21"/>
    </row>
    <row r="23" spans="1:10" ht="12.75" outlineLevel="1">
      <c r="A23" s="82" t="s">
        <v>13</v>
      </c>
      <c r="B23" s="86" t="s">
        <v>4</v>
      </c>
      <c r="C23" s="148">
        <f>'Расшифровка затрат'!O32</f>
        <v>0</v>
      </c>
      <c r="D23" s="148">
        <f t="shared" si="2"/>
        <v>0</v>
      </c>
      <c r="E23" s="148">
        <f t="shared" si="0"/>
        <v>630</v>
      </c>
      <c r="F23" s="102">
        <f t="shared" si="3"/>
        <v>0</v>
      </c>
      <c r="G23" s="84"/>
      <c r="H23" s="101"/>
      <c r="I23" s="85"/>
      <c r="J23" s="21"/>
    </row>
    <row r="24" spans="1:10" ht="12.75" outlineLevel="1">
      <c r="A24" s="82" t="s">
        <v>82</v>
      </c>
      <c r="B24" s="86" t="s">
        <v>19</v>
      </c>
      <c r="C24" s="148">
        <f>'Расшифровка затрат'!K28</f>
        <v>257.8922931165999</v>
      </c>
      <c r="D24" s="148">
        <f t="shared" si="2"/>
        <v>257.8922931165999</v>
      </c>
      <c r="E24" s="148">
        <f t="shared" si="0"/>
        <v>630</v>
      </c>
      <c r="F24" s="102">
        <f t="shared" si="3"/>
        <v>0.4093528462168252</v>
      </c>
      <c r="G24" s="84"/>
      <c r="H24" s="101"/>
      <c r="I24" s="85"/>
      <c r="J24" s="21"/>
    </row>
    <row r="25" spans="1:10" ht="12.75" outlineLevel="1">
      <c r="A25" s="82" t="s">
        <v>83</v>
      </c>
      <c r="B25" s="86" t="s">
        <v>95</v>
      </c>
      <c r="C25" s="148">
        <f>'Расшифровка затрат'!P30</f>
        <v>55.22716309588459</v>
      </c>
      <c r="D25" s="148">
        <f t="shared" si="2"/>
        <v>55.22716309588459</v>
      </c>
      <c r="E25" s="148">
        <f t="shared" si="0"/>
        <v>630</v>
      </c>
      <c r="F25" s="102">
        <f t="shared" si="3"/>
        <v>0.08766216364426126</v>
      </c>
      <c r="G25" s="84"/>
      <c r="H25" s="101"/>
      <c r="I25" s="85"/>
      <c r="J25" s="21"/>
    </row>
    <row r="26" spans="1:10" ht="12.75" outlineLevel="1">
      <c r="A26" s="82" t="s">
        <v>84</v>
      </c>
      <c r="B26" s="86" t="s">
        <v>96</v>
      </c>
      <c r="C26" s="148">
        <f>'Расшифровка затрат'!P31</f>
        <v>1.1748855868396717</v>
      </c>
      <c r="D26" s="148">
        <f t="shared" si="2"/>
        <v>1.1748855868396717</v>
      </c>
      <c r="E26" s="148">
        <f t="shared" si="0"/>
        <v>630</v>
      </c>
      <c r="F26" s="102">
        <f t="shared" si="3"/>
        <v>0.0018648977568883679</v>
      </c>
      <c r="G26" s="84"/>
      <c r="H26" s="101"/>
      <c r="I26" s="85"/>
      <c r="J26" s="21"/>
    </row>
    <row r="27" spans="1:11" s="68" customFormat="1" ht="33.75" customHeight="1">
      <c r="A27" s="93" t="s">
        <v>10</v>
      </c>
      <c r="B27" s="94" t="s">
        <v>85</v>
      </c>
      <c r="C27" s="147">
        <f>SUM(C28:C35)</f>
        <v>486.5342501503317</v>
      </c>
      <c r="D27" s="147">
        <f>SUM(D28:D35)</f>
        <v>486.5342501503317</v>
      </c>
      <c r="E27" s="147">
        <f t="shared" si="0"/>
        <v>630</v>
      </c>
      <c r="F27" s="147">
        <f>SUM(F28:F35)</f>
        <v>0.772276587540209</v>
      </c>
      <c r="G27" s="84" t="e">
        <f>C27/#REF!</f>
        <v>#REF!</v>
      </c>
      <c r="H27" s="101"/>
      <c r="I27" s="85"/>
      <c r="J27" s="21"/>
      <c r="K27" s="66"/>
    </row>
    <row r="28" spans="1:10" ht="12.75" outlineLevel="1">
      <c r="A28" s="82" t="s">
        <v>33</v>
      </c>
      <c r="B28" s="83" t="s">
        <v>61</v>
      </c>
      <c r="C28" s="148">
        <f>'Расшифровка затрат'!G36</f>
        <v>144.61065449010653</v>
      </c>
      <c r="D28" s="148">
        <f t="shared" si="2"/>
        <v>144.61065449010653</v>
      </c>
      <c r="E28" s="148">
        <f t="shared" si="0"/>
        <v>630</v>
      </c>
      <c r="F28" s="102">
        <f>D28/E28</f>
        <v>0.2295407214128675</v>
      </c>
      <c r="G28" s="84"/>
      <c r="H28" s="101"/>
      <c r="I28" s="85"/>
      <c r="J28" s="21"/>
    </row>
    <row r="29" spans="1:10" ht="12.75" outlineLevel="1">
      <c r="A29" s="82" t="s">
        <v>34</v>
      </c>
      <c r="B29" s="83" t="s">
        <v>7</v>
      </c>
      <c r="C29" s="148">
        <f>'Расшифровка затрат'!G37</f>
        <v>43.96163896499238</v>
      </c>
      <c r="D29" s="148">
        <f t="shared" si="2"/>
        <v>43.96163896499238</v>
      </c>
      <c r="E29" s="148">
        <f t="shared" si="0"/>
        <v>630</v>
      </c>
      <c r="F29" s="102">
        <f aca="true" t="shared" si="4" ref="F29:F35">D29/E29</f>
        <v>0.06978037930951171</v>
      </c>
      <c r="G29" s="84"/>
      <c r="H29" s="101"/>
      <c r="I29" s="85"/>
      <c r="J29" s="21"/>
    </row>
    <row r="30" spans="1:10" ht="12.75" outlineLevel="1">
      <c r="A30" s="82" t="s">
        <v>35</v>
      </c>
      <c r="B30" s="86" t="s">
        <v>4</v>
      </c>
      <c r="C30" s="148">
        <v>0</v>
      </c>
      <c r="D30" s="148">
        <f t="shared" si="2"/>
        <v>0</v>
      </c>
      <c r="E30" s="148">
        <f t="shared" si="0"/>
        <v>630</v>
      </c>
      <c r="F30" s="102">
        <f t="shared" si="4"/>
        <v>0</v>
      </c>
      <c r="G30" s="84"/>
      <c r="H30" s="101"/>
      <c r="I30" s="85"/>
      <c r="J30" s="21"/>
    </row>
    <row r="31" spans="1:10" ht="12.75" outlineLevel="1">
      <c r="A31" s="82" t="s">
        <v>86</v>
      </c>
      <c r="B31" s="86" t="s">
        <v>19</v>
      </c>
      <c r="C31" s="148">
        <f>'Расшифровка затрат'!K36</f>
        <v>257.8922931165999</v>
      </c>
      <c r="D31" s="148">
        <f t="shared" si="2"/>
        <v>257.8922931165999</v>
      </c>
      <c r="E31" s="148">
        <f t="shared" si="0"/>
        <v>630</v>
      </c>
      <c r="F31" s="102">
        <f t="shared" si="4"/>
        <v>0.4093528462168252</v>
      </c>
      <c r="G31" s="84"/>
      <c r="H31" s="101"/>
      <c r="I31" s="85"/>
      <c r="J31" s="21"/>
    </row>
    <row r="32" spans="1:10" ht="12.75" outlineLevel="1">
      <c r="A32" s="82" t="s">
        <v>87</v>
      </c>
      <c r="B32" s="86" t="s">
        <v>95</v>
      </c>
      <c r="C32" s="148">
        <f>'Расшифровка затрат'!P38</f>
        <v>39.23499052494878</v>
      </c>
      <c r="D32" s="148">
        <f t="shared" si="2"/>
        <v>39.23499052494878</v>
      </c>
      <c r="E32" s="148">
        <f t="shared" si="0"/>
        <v>630</v>
      </c>
      <c r="F32" s="102">
        <f t="shared" si="4"/>
        <v>0.062277762738013935</v>
      </c>
      <c r="G32" s="84"/>
      <c r="H32" s="101"/>
      <c r="I32" s="85"/>
      <c r="J32" s="21"/>
    </row>
    <row r="33" spans="1:10" ht="12.75" outlineLevel="1">
      <c r="A33" s="82" t="s">
        <v>88</v>
      </c>
      <c r="B33" s="86" t="s">
        <v>96</v>
      </c>
      <c r="C33" s="148">
        <f>'Расшифровка затрат'!P39</f>
        <v>0.8346730536841286</v>
      </c>
      <c r="D33" s="148">
        <f t="shared" si="2"/>
        <v>0.8346730536841286</v>
      </c>
      <c r="E33" s="148">
        <f t="shared" si="0"/>
        <v>630</v>
      </c>
      <c r="F33" s="102">
        <f t="shared" si="4"/>
        <v>0.0013248778629906803</v>
      </c>
      <c r="G33" s="84"/>
      <c r="H33" s="101"/>
      <c r="I33" s="85"/>
      <c r="J33" s="21"/>
    </row>
    <row r="34" spans="1:10" ht="12.75" hidden="1" outlineLevel="1">
      <c r="A34" s="82" t="s">
        <v>89</v>
      </c>
      <c r="B34" s="86" t="s">
        <v>66</v>
      </c>
      <c r="C34" s="148">
        <v>0</v>
      </c>
      <c r="D34" s="148">
        <f t="shared" si="2"/>
        <v>0</v>
      </c>
      <c r="E34" s="148">
        <f t="shared" si="0"/>
        <v>630</v>
      </c>
      <c r="F34" s="102">
        <f t="shared" si="4"/>
        <v>0</v>
      </c>
      <c r="G34" s="84"/>
      <c r="H34" s="101"/>
      <c r="I34" s="85"/>
      <c r="J34" s="21"/>
    </row>
    <row r="35" spans="1:10" ht="12.75" hidden="1" outlineLevel="1">
      <c r="A35" s="82" t="s">
        <v>90</v>
      </c>
      <c r="B35" s="86" t="s">
        <v>67</v>
      </c>
      <c r="C35" s="148">
        <v>0</v>
      </c>
      <c r="D35" s="148">
        <f t="shared" si="2"/>
        <v>0</v>
      </c>
      <c r="E35" s="148">
        <f t="shared" si="0"/>
        <v>630</v>
      </c>
      <c r="F35" s="102">
        <f t="shared" si="4"/>
        <v>0</v>
      </c>
      <c r="G35" s="84"/>
      <c r="H35" s="101"/>
      <c r="I35" s="85"/>
      <c r="J35" s="21"/>
    </row>
    <row r="36" spans="1:11" s="68" customFormat="1" ht="38.25" customHeight="1" collapsed="1">
      <c r="A36" s="93" t="s">
        <v>17</v>
      </c>
      <c r="B36" s="94" t="s">
        <v>91</v>
      </c>
      <c r="C36" s="147">
        <f>SUM(C37:C42)</f>
        <v>2184.2874111041556</v>
      </c>
      <c r="D36" s="147">
        <f>SUM(D37:D42)</f>
        <v>2184.2874111041556</v>
      </c>
      <c r="E36" s="147">
        <f t="shared" si="0"/>
        <v>630</v>
      </c>
      <c r="F36" s="147">
        <f>SUM(F37:F42)</f>
        <v>3.4671228747685006</v>
      </c>
      <c r="G36" s="84" t="e">
        <f>C36/#REF!</f>
        <v>#REF!</v>
      </c>
      <c r="H36" s="101"/>
      <c r="I36" s="85"/>
      <c r="J36" s="21"/>
      <c r="K36" s="66"/>
    </row>
    <row r="37" spans="1:9" ht="12.75" outlineLevel="1">
      <c r="A37" s="82" t="s">
        <v>42</v>
      </c>
      <c r="B37" s="83" t="s">
        <v>61</v>
      </c>
      <c r="C37" s="148">
        <f>'Расшифровка затрат'!G48</f>
        <v>548.2621613394216</v>
      </c>
      <c r="D37" s="148">
        <f t="shared" si="2"/>
        <v>548.2621613394216</v>
      </c>
      <c r="E37" s="148">
        <f t="shared" si="0"/>
        <v>630</v>
      </c>
      <c r="F37" s="102">
        <f aca="true" t="shared" si="5" ref="F37:F42">D37/E37</f>
        <v>0.8702573989514628</v>
      </c>
      <c r="G37" s="70"/>
      <c r="I37" s="71"/>
    </row>
    <row r="38" spans="1:9" ht="12.75" outlineLevel="1">
      <c r="A38" s="82" t="s">
        <v>48</v>
      </c>
      <c r="B38" s="83" t="s">
        <v>7</v>
      </c>
      <c r="C38" s="148">
        <f>'Расшифровка затрат'!G49</f>
        <v>166.67169704718415</v>
      </c>
      <c r="D38" s="148">
        <f t="shared" si="2"/>
        <v>166.67169704718415</v>
      </c>
      <c r="E38" s="148">
        <f t="shared" si="0"/>
        <v>630</v>
      </c>
      <c r="F38" s="102">
        <f t="shared" si="5"/>
        <v>0.26455824928124466</v>
      </c>
      <c r="G38" s="70"/>
      <c r="I38" s="71"/>
    </row>
    <row r="39" spans="1:9" ht="12.75" outlineLevel="1">
      <c r="A39" s="82" t="s">
        <v>92</v>
      </c>
      <c r="B39" s="86" t="s">
        <v>4</v>
      </c>
      <c r="C39" s="148">
        <f>'Расшифровка затрат'!O52</f>
        <v>0</v>
      </c>
      <c r="D39" s="148">
        <f t="shared" si="2"/>
        <v>0</v>
      </c>
      <c r="E39" s="148">
        <f t="shared" si="0"/>
        <v>630</v>
      </c>
      <c r="F39" s="102">
        <f t="shared" si="5"/>
        <v>0</v>
      </c>
      <c r="G39" s="70"/>
      <c r="I39" s="71"/>
    </row>
    <row r="40" spans="1:9" ht="12.75" outlineLevel="1">
      <c r="A40" s="82" t="s">
        <v>93</v>
      </c>
      <c r="B40" s="86" t="s">
        <v>19</v>
      </c>
      <c r="C40" s="148">
        <f>'Расшифровка затрат'!K52</f>
        <v>1289.4614655829994</v>
      </c>
      <c r="D40" s="148">
        <f t="shared" si="2"/>
        <v>1289.4614655829994</v>
      </c>
      <c r="E40" s="148">
        <f t="shared" si="0"/>
        <v>630</v>
      </c>
      <c r="F40" s="102">
        <f t="shared" si="5"/>
        <v>2.046764231084126</v>
      </c>
      <c r="G40" s="70"/>
      <c r="I40" s="71"/>
    </row>
    <row r="41" spans="1:9" ht="12.75" outlineLevel="1">
      <c r="A41" s="82" t="s">
        <v>94</v>
      </c>
      <c r="B41" s="86" t="s">
        <v>95</v>
      </c>
      <c r="C41" s="148">
        <f>'Расшифровка затрат'!P50</f>
        <v>176.14483636446207</v>
      </c>
      <c r="D41" s="148">
        <f t="shared" si="2"/>
        <v>176.14483636446207</v>
      </c>
      <c r="E41" s="148">
        <f t="shared" si="0"/>
        <v>630</v>
      </c>
      <c r="F41" s="102">
        <f t="shared" si="5"/>
        <v>0.279594978356289</v>
      </c>
      <c r="G41" s="70"/>
      <c r="I41" s="71"/>
    </row>
    <row r="42" spans="1:9" ht="12.75" outlineLevel="1">
      <c r="A42" s="82" t="s">
        <v>32</v>
      </c>
      <c r="B42" s="86" t="s">
        <v>96</v>
      </c>
      <c r="C42" s="148">
        <f>'Расшифровка затрат'!P51</f>
        <v>3.747250770088178</v>
      </c>
      <c r="D42" s="148">
        <f t="shared" si="2"/>
        <v>3.747250770088178</v>
      </c>
      <c r="E42" s="148">
        <f t="shared" si="0"/>
        <v>630</v>
      </c>
      <c r="F42" s="102">
        <f t="shared" si="5"/>
        <v>0.00594801709537806</v>
      </c>
      <c r="G42" s="70"/>
      <c r="I42" s="71"/>
    </row>
    <row r="43" spans="1:9" ht="12.75">
      <c r="A43" s="230"/>
      <c r="B43" s="231"/>
      <c r="C43" s="232"/>
      <c r="D43" s="232"/>
      <c r="E43" s="232"/>
      <c r="F43" s="233"/>
      <c r="G43" s="70"/>
      <c r="I43" s="71"/>
    </row>
    <row r="44" spans="1:9" ht="12.75">
      <c r="A44" s="230"/>
      <c r="B44" s="231"/>
      <c r="C44" s="232"/>
      <c r="D44" s="232"/>
      <c r="E44" s="232"/>
      <c r="F44" s="233"/>
      <c r="G44" s="70"/>
      <c r="I44" s="71"/>
    </row>
    <row r="45" spans="1:6" s="68" customFormat="1" ht="15" hidden="1" outlineLevel="1">
      <c r="A45" s="73"/>
      <c r="B45" s="73"/>
      <c r="C45" s="73"/>
      <c r="D45" s="126">
        <f>D6+D20+D36+D27</f>
        <v>5783.9791173067015</v>
      </c>
      <c r="E45" s="73"/>
      <c r="F45" s="74"/>
    </row>
    <row r="46" spans="1:8" s="68" customFormat="1" ht="12.75" customHeight="1" hidden="1" outlineLevel="1">
      <c r="A46" s="73"/>
      <c r="B46" s="65"/>
      <c r="C46" s="73"/>
      <c r="D46" s="73"/>
      <c r="E46" s="73"/>
      <c r="F46" s="74"/>
      <c r="H46" s="72"/>
    </row>
    <row r="47" spans="1:6" s="75" customFormat="1" ht="11.25" customHeight="1" hidden="1" outlineLevel="1">
      <c r="A47" s="65"/>
      <c r="B47" s="65"/>
      <c r="C47" s="159" t="s">
        <v>192</v>
      </c>
      <c r="D47" s="160">
        <f>D7+D21+D37+D28</f>
        <v>2290.3338812785387</v>
      </c>
      <c r="E47" s="79"/>
      <c r="F47" s="78"/>
    </row>
    <row r="48" spans="1:5" ht="12" customHeight="1" hidden="1" outlineLevel="1">
      <c r="A48" s="76"/>
      <c r="B48" s="77"/>
      <c r="C48" s="161" t="s">
        <v>193</v>
      </c>
      <c r="D48" s="162">
        <f>D8+D22+D38+D29</f>
        <v>696.2614999086757</v>
      </c>
      <c r="E48" s="79"/>
    </row>
    <row r="49" spans="3:5" ht="12" customHeight="1" hidden="1" outlineLevel="1">
      <c r="C49" s="159" t="s">
        <v>194</v>
      </c>
      <c r="D49" s="160">
        <f>D10+D24+D40+D31</f>
        <v>2321.030638049399</v>
      </c>
      <c r="E49" s="79"/>
    </row>
    <row r="50" spans="3:5" ht="12.75" hidden="1" outlineLevel="1">
      <c r="C50" s="159" t="s">
        <v>195</v>
      </c>
      <c r="D50" s="160">
        <f>D11+D25+D41+D32</f>
        <v>466.4304019581575</v>
      </c>
      <c r="E50" s="79"/>
    </row>
    <row r="51" spans="3:5" ht="12.75" hidden="1" outlineLevel="1">
      <c r="C51" s="159" t="s">
        <v>196</v>
      </c>
      <c r="D51" s="160">
        <f>D12+D26+D42+D33</f>
        <v>9.922696111930286</v>
      </c>
      <c r="E51" s="79"/>
    </row>
    <row r="52" spans="3:5" ht="12.75" hidden="1" outlineLevel="1">
      <c r="C52" s="159"/>
      <c r="D52" s="160">
        <f>SUM(D47:D51)</f>
        <v>5783.9791173067015</v>
      </c>
      <c r="E52" s="79"/>
    </row>
    <row r="53" spans="3:5" ht="12.75" collapsed="1">
      <c r="C53" s="79"/>
      <c r="D53" s="79"/>
      <c r="E53" s="79"/>
    </row>
    <row r="54" spans="3:5" ht="12.75">
      <c r="C54" s="79"/>
      <c r="D54" s="79"/>
      <c r="E54" s="79"/>
    </row>
    <row r="55" spans="2:5" ht="15.75">
      <c r="B55" s="261" t="s">
        <v>240</v>
      </c>
      <c r="C55" s="261"/>
      <c r="D55" s="262"/>
      <c r="E55" s="262"/>
    </row>
    <row r="56" spans="3:5" ht="12.75">
      <c r="C56" s="79"/>
      <c r="D56" s="79"/>
      <c r="E56" s="79"/>
    </row>
    <row r="57" spans="3:5" ht="12.75">
      <c r="C57" s="79"/>
      <c r="D57" s="79"/>
      <c r="E57" s="79"/>
    </row>
    <row r="58" spans="3:5" ht="12.75">
      <c r="C58" s="79"/>
      <c r="D58" s="79"/>
      <c r="E58" s="79"/>
    </row>
    <row r="59" spans="3:5" ht="12.75">
      <c r="C59" s="79"/>
      <c r="D59" s="79"/>
      <c r="E59" s="79"/>
    </row>
    <row r="60" spans="3:5" ht="12.75">
      <c r="C60" s="79"/>
      <c r="D60" s="79"/>
      <c r="E60" s="79"/>
    </row>
    <row r="61" spans="3:5" ht="12.75">
      <c r="C61" s="79"/>
      <c r="D61" s="79"/>
      <c r="E61" s="79"/>
    </row>
    <row r="62" spans="3:5" ht="12.75">
      <c r="C62" s="79"/>
      <c r="D62" s="79"/>
      <c r="E62" s="79"/>
    </row>
    <row r="63" spans="3:5" ht="12.75">
      <c r="C63" s="79"/>
      <c r="D63" s="79"/>
      <c r="E63" s="79"/>
    </row>
    <row r="64" spans="3:5" ht="12.75">
      <c r="C64" s="79"/>
      <c r="D64" s="79"/>
      <c r="E64" s="79"/>
    </row>
    <row r="65" spans="3:5" ht="12.75">
      <c r="C65" s="79"/>
      <c r="D65" s="79"/>
      <c r="E65" s="79"/>
    </row>
  </sheetData>
  <sheetProtection/>
  <mergeCells count="2">
    <mergeCell ref="A2:F2"/>
    <mergeCell ref="B55:E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25">
      <selection activeCell="B54" sqref="B54:E54"/>
    </sheetView>
  </sheetViews>
  <sheetFormatPr defaultColWidth="9.140625" defaultRowHeight="12.75" outlineLevelRow="1" outlineLevelCol="1"/>
  <cols>
    <col min="1" max="1" width="7.140625" style="65" customWidth="1"/>
    <col min="2" max="2" width="81.8515625" style="65" customWidth="1"/>
    <col min="3" max="3" width="14.28125" style="65" customWidth="1" outlineLevel="1"/>
    <col min="4" max="4" width="19.00390625" style="65" customWidth="1"/>
    <col min="5" max="5" width="14.28125" style="65" customWidth="1"/>
    <col min="6" max="6" width="16.7109375" style="78" customWidth="1"/>
    <col min="7" max="7" width="12.421875" style="66" hidden="1" customWidth="1"/>
    <col min="8" max="8" width="8.28125" style="66" customWidth="1"/>
    <col min="9" max="9" width="14.7109375" style="66" customWidth="1"/>
    <col min="10" max="10" width="12.7109375" style="66" bestFit="1" customWidth="1"/>
    <col min="11" max="16384" width="9.140625" style="66" customWidth="1"/>
  </cols>
  <sheetData>
    <row r="1" spans="1:10" ht="12.75">
      <c r="A1" s="79"/>
      <c r="B1" s="79"/>
      <c r="C1" s="79"/>
      <c r="D1" s="79"/>
      <c r="E1" s="79"/>
      <c r="F1" s="80"/>
      <c r="G1" s="21"/>
      <c r="H1" s="21"/>
      <c r="I1" s="21"/>
      <c r="J1" s="21"/>
    </row>
    <row r="2" spans="1:10" ht="69.75" customHeight="1">
      <c r="A2" s="271" t="s">
        <v>238</v>
      </c>
      <c r="B2" s="271"/>
      <c r="C2" s="271"/>
      <c r="D2" s="272"/>
      <c r="E2" s="272"/>
      <c r="F2" s="272"/>
      <c r="G2" s="21"/>
      <c r="H2" s="21"/>
      <c r="I2" s="21"/>
      <c r="J2" s="21"/>
    </row>
    <row r="3" spans="1:11" s="68" customFormat="1" ht="84.75" customHeight="1">
      <c r="A3" s="87" t="s">
        <v>49</v>
      </c>
      <c r="B3" s="87" t="s">
        <v>50</v>
      </c>
      <c r="C3" s="88" t="s">
        <v>51</v>
      </c>
      <c r="D3" s="67" t="s">
        <v>52</v>
      </c>
      <c r="E3" s="67" t="s">
        <v>53</v>
      </c>
      <c r="F3" s="67" t="s">
        <v>54</v>
      </c>
      <c r="G3" s="89" t="s">
        <v>55</v>
      </c>
      <c r="H3" s="90"/>
      <c r="I3" s="81"/>
      <c r="J3" s="81"/>
      <c r="K3" s="66"/>
    </row>
    <row r="4" spans="1:11" s="68" customFormat="1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91">
        <v>6</v>
      </c>
      <c r="G4" s="21"/>
      <c r="H4" s="92"/>
      <c r="I4" s="81" t="s">
        <v>56</v>
      </c>
      <c r="J4" s="81" t="s">
        <v>57</v>
      </c>
      <c r="K4" s="66"/>
    </row>
    <row r="5" spans="1:11" s="69" customFormat="1" ht="15.75" outlineLevel="1">
      <c r="A5" s="93"/>
      <c r="B5" s="94" t="s">
        <v>58</v>
      </c>
      <c r="C5" s="147">
        <f>SUM(C6,C13,C14,C20,C27,C36)</f>
        <v>5783.9791173067015</v>
      </c>
      <c r="D5" s="147">
        <f>D6+D20+D27+D36</f>
        <v>0</v>
      </c>
      <c r="E5" s="147">
        <f>J3</f>
        <v>0</v>
      </c>
      <c r="F5" s="147" t="e">
        <f>SUM(F6,F13,F14,F20,F27,F36)</f>
        <v>#DIV/0!</v>
      </c>
      <c r="G5" s="95"/>
      <c r="H5" s="96"/>
      <c r="I5" s="97"/>
      <c r="J5" s="22" t="e">
        <f>J3/I3</f>
        <v>#DIV/0!</v>
      </c>
      <c r="K5" s="98"/>
    </row>
    <row r="6" spans="1:11" s="68" customFormat="1" ht="34.5" customHeight="1">
      <c r="A6" s="93" t="s">
        <v>0</v>
      </c>
      <c r="B6" s="94" t="s">
        <v>59</v>
      </c>
      <c r="C6" s="147">
        <f>SUM(C7:C12)</f>
        <v>2428.311964176786</v>
      </c>
      <c r="D6" s="147">
        <f>SUM(D7:D12)</f>
        <v>0</v>
      </c>
      <c r="E6" s="147">
        <f>$J$3</f>
        <v>0</v>
      </c>
      <c r="F6" s="147" t="e">
        <f>SUM(F7:F12)</f>
        <v>#DIV/0!</v>
      </c>
      <c r="G6" s="100" t="e">
        <f>SUM(G7:G10)</f>
        <v>#REF!</v>
      </c>
      <c r="H6" s="101"/>
      <c r="I6" s="21"/>
      <c r="J6" s="21"/>
      <c r="K6" s="66"/>
    </row>
    <row r="7" spans="1:10" ht="12.75" outlineLevel="1">
      <c r="A7" s="82" t="s">
        <v>60</v>
      </c>
      <c r="B7" s="83" t="s">
        <v>61</v>
      </c>
      <c r="C7" s="148">
        <f>'Расшифровка затрат'!G16</f>
        <v>1313.2960730593604</v>
      </c>
      <c r="D7" s="148">
        <f>C7*$I$3</f>
        <v>0</v>
      </c>
      <c r="E7" s="148">
        <f aca="true" t="shared" si="0" ref="E7:E42">$J$3</f>
        <v>0</v>
      </c>
      <c r="F7" s="102" t="e">
        <f aca="true" t="shared" si="1" ref="F7:F12">D7/E7</f>
        <v>#DIV/0!</v>
      </c>
      <c r="G7" s="84" t="e">
        <f>C7/#REF!</f>
        <v>#REF!</v>
      </c>
      <c r="H7" s="101"/>
      <c r="I7" s="85"/>
      <c r="J7" s="21"/>
    </row>
    <row r="8" spans="1:10" ht="12.75" outlineLevel="1">
      <c r="A8" s="82" t="s">
        <v>62</v>
      </c>
      <c r="B8" s="83" t="s">
        <v>7</v>
      </c>
      <c r="C8" s="148">
        <f>'Расшифровка затрат'!G17</f>
        <v>399.24200621004553</v>
      </c>
      <c r="D8" s="148">
        <f aca="true" t="shared" si="2" ref="D8:D42">C8*$I$3</f>
        <v>0</v>
      </c>
      <c r="E8" s="148">
        <f t="shared" si="0"/>
        <v>0</v>
      </c>
      <c r="F8" s="102" t="e">
        <f t="shared" si="1"/>
        <v>#DIV/0!</v>
      </c>
      <c r="G8" s="84"/>
      <c r="H8" s="101"/>
      <c r="I8" s="85"/>
      <c r="J8" s="21"/>
    </row>
    <row r="9" spans="1:10" ht="12.75" outlineLevel="1">
      <c r="A9" s="82" t="s">
        <v>63</v>
      </c>
      <c r="B9" s="86" t="s">
        <v>4</v>
      </c>
      <c r="C9" s="148">
        <f>'Расшифровка затрат'!O20</f>
        <v>0</v>
      </c>
      <c r="D9" s="148">
        <f>C9*$I$3</f>
        <v>0</v>
      </c>
      <c r="E9" s="148">
        <f t="shared" si="0"/>
        <v>0</v>
      </c>
      <c r="F9" s="102" t="e">
        <f t="shared" si="1"/>
        <v>#DIV/0!</v>
      </c>
      <c r="G9" s="84" t="e">
        <f>C9/#REF!</f>
        <v>#REF!</v>
      </c>
      <c r="H9" s="101"/>
      <c r="I9" s="85"/>
      <c r="J9" s="21"/>
    </row>
    <row r="10" spans="1:10" ht="12.75" outlineLevel="1">
      <c r="A10" s="82" t="s">
        <v>64</v>
      </c>
      <c r="B10" s="86" t="s">
        <v>19</v>
      </c>
      <c r="C10" s="148">
        <f>'Расшифровка затрат'!K20</f>
        <v>515.7845862331998</v>
      </c>
      <c r="D10" s="148">
        <f t="shared" si="2"/>
        <v>0</v>
      </c>
      <c r="E10" s="148">
        <f t="shared" si="0"/>
        <v>0</v>
      </c>
      <c r="F10" s="102" t="e">
        <f t="shared" si="1"/>
        <v>#DIV/0!</v>
      </c>
      <c r="G10" s="84" t="e">
        <f>C10/#REF!</f>
        <v>#REF!</v>
      </c>
      <c r="H10" s="101"/>
      <c r="I10" s="85"/>
      <c r="J10" s="21"/>
    </row>
    <row r="11" spans="1:10" ht="12.75" outlineLevel="1">
      <c r="A11" s="82" t="s">
        <v>14</v>
      </c>
      <c r="B11" s="86" t="s">
        <v>95</v>
      </c>
      <c r="C11" s="148">
        <f>'Расшифровка затрат'!P18</f>
        <v>195.82341197286212</v>
      </c>
      <c r="D11" s="148">
        <f t="shared" si="2"/>
        <v>0</v>
      </c>
      <c r="E11" s="148">
        <f t="shared" si="0"/>
        <v>0</v>
      </c>
      <c r="F11" s="102" t="e">
        <f t="shared" si="1"/>
        <v>#DIV/0!</v>
      </c>
      <c r="G11" s="84"/>
      <c r="H11" s="101"/>
      <c r="I11" s="85"/>
      <c r="J11" s="21"/>
    </row>
    <row r="12" spans="1:10" ht="12.75" outlineLevel="1">
      <c r="A12" s="82" t="s">
        <v>65</v>
      </c>
      <c r="B12" s="86" t="s">
        <v>96</v>
      </c>
      <c r="C12" s="148">
        <f>'Расшифровка затрат'!P19</f>
        <v>4.165886701318309</v>
      </c>
      <c r="D12" s="148">
        <f t="shared" si="2"/>
        <v>0</v>
      </c>
      <c r="E12" s="148">
        <f t="shared" si="0"/>
        <v>0</v>
      </c>
      <c r="F12" s="102" t="e">
        <f t="shared" si="1"/>
        <v>#DIV/0!</v>
      </c>
      <c r="G12" s="84"/>
      <c r="H12" s="101"/>
      <c r="I12" s="85"/>
      <c r="J12" s="21"/>
    </row>
    <row r="13" spans="1:11" s="68" customFormat="1" ht="44.25" customHeight="1">
      <c r="A13" s="87" t="s">
        <v>1</v>
      </c>
      <c r="B13" s="99" t="s">
        <v>68</v>
      </c>
      <c r="C13" s="148">
        <v>0</v>
      </c>
      <c r="D13" s="148">
        <v>0</v>
      </c>
      <c r="E13" s="148">
        <v>0</v>
      </c>
      <c r="F13" s="148">
        <v>0</v>
      </c>
      <c r="G13" s="103"/>
      <c r="H13" s="101"/>
      <c r="I13" s="85"/>
      <c r="J13" s="21"/>
      <c r="K13" s="66"/>
    </row>
    <row r="14" spans="1:11" s="68" customFormat="1" ht="37.5" customHeight="1">
      <c r="A14" s="87" t="s">
        <v>2</v>
      </c>
      <c r="B14" s="99" t="s">
        <v>69</v>
      </c>
      <c r="C14" s="148" t="s">
        <v>70</v>
      </c>
      <c r="D14" s="148" t="s">
        <v>70</v>
      </c>
      <c r="E14" s="148" t="s">
        <v>70</v>
      </c>
      <c r="F14" s="148" t="s">
        <v>70</v>
      </c>
      <c r="G14" s="103" t="e">
        <f>SUM(#REF!)</f>
        <v>#REF!</v>
      </c>
      <c r="H14" s="101"/>
      <c r="I14" s="85"/>
      <c r="J14" s="104"/>
      <c r="K14" s="66"/>
    </row>
    <row r="15" spans="1:11" s="68" customFormat="1" ht="19.5" customHeight="1">
      <c r="A15" s="87" t="s">
        <v>71</v>
      </c>
      <c r="B15" s="99" t="s">
        <v>72</v>
      </c>
      <c r="C15" s="148"/>
      <c r="D15" s="148"/>
      <c r="E15" s="148"/>
      <c r="F15" s="148"/>
      <c r="G15" s="103"/>
      <c r="H15" s="101"/>
      <c r="I15" s="85"/>
      <c r="J15" s="104"/>
      <c r="K15" s="66"/>
    </row>
    <row r="16" spans="1:11" s="68" customFormat="1" ht="15">
      <c r="A16" s="87" t="s">
        <v>73</v>
      </c>
      <c r="B16" s="99" t="s">
        <v>74</v>
      </c>
      <c r="C16" s="148"/>
      <c r="D16" s="148">
        <v>0</v>
      </c>
      <c r="E16" s="148">
        <v>0</v>
      </c>
      <c r="F16" s="148">
        <v>0</v>
      </c>
      <c r="G16" s="103"/>
      <c r="H16" s="101"/>
      <c r="I16" s="85"/>
      <c r="J16" s="104"/>
      <c r="K16" s="66"/>
    </row>
    <row r="17" spans="1:11" s="68" customFormat="1" ht="15">
      <c r="A17" s="87" t="s">
        <v>75</v>
      </c>
      <c r="B17" s="99" t="s">
        <v>76</v>
      </c>
      <c r="C17" s="148"/>
      <c r="D17" s="148">
        <v>0</v>
      </c>
      <c r="E17" s="148">
        <v>0</v>
      </c>
      <c r="F17" s="148">
        <v>0</v>
      </c>
      <c r="G17" s="103"/>
      <c r="H17" s="101"/>
      <c r="I17" s="85"/>
      <c r="J17" s="104"/>
      <c r="K17" s="66"/>
    </row>
    <row r="18" spans="1:11" s="68" customFormat="1" ht="75.75" customHeight="1">
      <c r="A18" s="87" t="s">
        <v>77</v>
      </c>
      <c r="B18" s="99" t="s">
        <v>78</v>
      </c>
      <c r="C18" s="148"/>
      <c r="D18" s="148"/>
      <c r="E18" s="148"/>
      <c r="F18" s="148"/>
      <c r="G18" s="103"/>
      <c r="H18" s="101"/>
      <c r="I18" s="85"/>
      <c r="J18" s="104"/>
      <c r="K18" s="66"/>
    </row>
    <row r="19" spans="1:11" s="68" customFormat="1" ht="53.25" customHeight="1">
      <c r="A19" s="87" t="s">
        <v>79</v>
      </c>
      <c r="B19" s="99" t="s">
        <v>80</v>
      </c>
      <c r="C19" s="148"/>
      <c r="D19" s="148">
        <v>0</v>
      </c>
      <c r="E19" s="148">
        <v>0</v>
      </c>
      <c r="F19" s="148">
        <v>0</v>
      </c>
      <c r="G19" s="103"/>
      <c r="H19" s="101"/>
      <c r="I19" s="85"/>
      <c r="J19" s="104"/>
      <c r="K19" s="66"/>
    </row>
    <row r="20" spans="1:11" s="68" customFormat="1" ht="24.75" customHeight="1">
      <c r="A20" s="93" t="s">
        <v>3</v>
      </c>
      <c r="B20" s="94" t="s">
        <v>81</v>
      </c>
      <c r="C20" s="147">
        <f>SUM(C21:C26)</f>
        <v>684.8454918754277</v>
      </c>
      <c r="D20" s="147">
        <f>SUM(D21:D26)</f>
        <v>0</v>
      </c>
      <c r="E20" s="147">
        <f t="shared" si="0"/>
        <v>0</v>
      </c>
      <c r="F20" s="147" t="e">
        <f>SUM(F21:F26)</f>
        <v>#DIV/0!</v>
      </c>
      <c r="G20" s="84" t="e">
        <f>C20/#REF!</f>
        <v>#REF!</v>
      </c>
      <c r="H20" s="101"/>
      <c r="I20" s="85"/>
      <c r="J20" s="21"/>
      <c r="K20" s="66"/>
    </row>
    <row r="21" spans="1:10" ht="12.75" outlineLevel="1">
      <c r="A21" s="82" t="s">
        <v>11</v>
      </c>
      <c r="B21" s="83" t="s">
        <v>61</v>
      </c>
      <c r="C21" s="148">
        <f>'Расшифровка затрат'!G28</f>
        <v>284.1649923896499</v>
      </c>
      <c r="D21" s="148">
        <f t="shared" si="2"/>
        <v>0</v>
      </c>
      <c r="E21" s="148">
        <f t="shared" si="0"/>
        <v>0</v>
      </c>
      <c r="F21" s="102" t="e">
        <f aca="true" t="shared" si="3" ref="F21:F26">D21/E21</f>
        <v>#DIV/0!</v>
      </c>
      <c r="G21" s="84"/>
      <c r="H21" s="101"/>
      <c r="I21" s="85"/>
      <c r="J21" s="21"/>
    </row>
    <row r="22" spans="1:10" ht="12.75" outlineLevel="1">
      <c r="A22" s="82" t="s">
        <v>12</v>
      </c>
      <c r="B22" s="83" t="s">
        <v>7</v>
      </c>
      <c r="C22" s="148">
        <f>'Расшифровка затрат'!G29</f>
        <v>86.38615768645357</v>
      </c>
      <c r="D22" s="148">
        <f t="shared" si="2"/>
        <v>0</v>
      </c>
      <c r="E22" s="148">
        <f t="shared" si="0"/>
        <v>0</v>
      </c>
      <c r="F22" s="102" t="e">
        <f t="shared" si="3"/>
        <v>#DIV/0!</v>
      </c>
      <c r="G22" s="84"/>
      <c r="H22" s="101"/>
      <c r="I22" s="85"/>
      <c r="J22" s="21"/>
    </row>
    <row r="23" spans="1:10" ht="12.75" outlineLevel="1">
      <c r="A23" s="82" t="s">
        <v>13</v>
      </c>
      <c r="B23" s="86" t="s">
        <v>4</v>
      </c>
      <c r="C23" s="148">
        <f>'Расшифровка затрат'!O32</f>
        <v>0</v>
      </c>
      <c r="D23" s="148">
        <f t="shared" si="2"/>
        <v>0</v>
      </c>
      <c r="E23" s="148">
        <f t="shared" si="0"/>
        <v>0</v>
      </c>
      <c r="F23" s="102" t="e">
        <f t="shared" si="3"/>
        <v>#DIV/0!</v>
      </c>
      <c r="G23" s="84"/>
      <c r="H23" s="101"/>
      <c r="I23" s="85"/>
      <c r="J23" s="21"/>
    </row>
    <row r="24" spans="1:10" ht="12.75" outlineLevel="1">
      <c r="A24" s="82" t="s">
        <v>82</v>
      </c>
      <c r="B24" s="86" t="s">
        <v>19</v>
      </c>
      <c r="C24" s="148">
        <f>'Расшифровка затрат'!K28</f>
        <v>257.8922931165999</v>
      </c>
      <c r="D24" s="148">
        <f t="shared" si="2"/>
        <v>0</v>
      </c>
      <c r="E24" s="148">
        <f t="shared" si="0"/>
        <v>0</v>
      </c>
      <c r="F24" s="102" t="e">
        <f t="shared" si="3"/>
        <v>#DIV/0!</v>
      </c>
      <c r="G24" s="84"/>
      <c r="H24" s="101"/>
      <c r="I24" s="85"/>
      <c r="J24" s="21"/>
    </row>
    <row r="25" spans="1:10" ht="12.75" outlineLevel="1">
      <c r="A25" s="82" t="s">
        <v>83</v>
      </c>
      <c r="B25" s="86" t="s">
        <v>95</v>
      </c>
      <c r="C25" s="148">
        <f>'Расшифровка затрат'!P30</f>
        <v>55.22716309588459</v>
      </c>
      <c r="D25" s="148">
        <f t="shared" si="2"/>
        <v>0</v>
      </c>
      <c r="E25" s="148">
        <f t="shared" si="0"/>
        <v>0</v>
      </c>
      <c r="F25" s="102" t="e">
        <f t="shared" si="3"/>
        <v>#DIV/0!</v>
      </c>
      <c r="G25" s="84"/>
      <c r="H25" s="101"/>
      <c r="I25" s="85"/>
      <c r="J25" s="21"/>
    </row>
    <row r="26" spans="1:10" ht="12.75" outlineLevel="1">
      <c r="A26" s="82" t="s">
        <v>84</v>
      </c>
      <c r="B26" s="86" t="s">
        <v>96</v>
      </c>
      <c r="C26" s="148">
        <f>'Расшифровка затрат'!P31</f>
        <v>1.1748855868396717</v>
      </c>
      <c r="D26" s="148">
        <f t="shared" si="2"/>
        <v>0</v>
      </c>
      <c r="E26" s="148">
        <f t="shared" si="0"/>
        <v>0</v>
      </c>
      <c r="F26" s="102" t="e">
        <f t="shared" si="3"/>
        <v>#DIV/0!</v>
      </c>
      <c r="G26" s="84"/>
      <c r="H26" s="101"/>
      <c r="I26" s="85"/>
      <c r="J26" s="21"/>
    </row>
    <row r="27" spans="1:11" s="68" customFormat="1" ht="33.75" customHeight="1">
      <c r="A27" s="93" t="s">
        <v>10</v>
      </c>
      <c r="B27" s="94" t="s">
        <v>85</v>
      </c>
      <c r="C27" s="147">
        <f>SUM(C28:C35)</f>
        <v>486.5342501503317</v>
      </c>
      <c r="D27" s="147">
        <f>SUM(D28:D35)</f>
        <v>0</v>
      </c>
      <c r="E27" s="147">
        <f t="shared" si="0"/>
        <v>0</v>
      </c>
      <c r="F27" s="147" t="e">
        <f>SUM(F28:F35)</f>
        <v>#DIV/0!</v>
      </c>
      <c r="G27" s="84" t="e">
        <f>C27/#REF!</f>
        <v>#REF!</v>
      </c>
      <c r="H27" s="101"/>
      <c r="I27" s="85"/>
      <c r="J27" s="21"/>
      <c r="K27" s="66"/>
    </row>
    <row r="28" spans="1:10" ht="12.75" outlineLevel="1">
      <c r="A28" s="82" t="s">
        <v>33</v>
      </c>
      <c r="B28" s="83" t="s">
        <v>61</v>
      </c>
      <c r="C28" s="148">
        <f>'Расшифровка затрат'!G36</f>
        <v>144.61065449010653</v>
      </c>
      <c r="D28" s="148">
        <f t="shared" si="2"/>
        <v>0</v>
      </c>
      <c r="E28" s="148">
        <f t="shared" si="0"/>
        <v>0</v>
      </c>
      <c r="F28" s="102" t="e">
        <f>D28/E28</f>
        <v>#DIV/0!</v>
      </c>
      <c r="G28" s="84"/>
      <c r="H28" s="101"/>
      <c r="I28" s="85"/>
      <c r="J28" s="21"/>
    </row>
    <row r="29" spans="1:10" ht="12.75" outlineLevel="1">
      <c r="A29" s="82" t="s">
        <v>34</v>
      </c>
      <c r="B29" s="83" t="s">
        <v>7</v>
      </c>
      <c r="C29" s="148">
        <f>'Расшифровка затрат'!G37</f>
        <v>43.96163896499238</v>
      </c>
      <c r="D29" s="148">
        <f t="shared" si="2"/>
        <v>0</v>
      </c>
      <c r="E29" s="148">
        <f t="shared" si="0"/>
        <v>0</v>
      </c>
      <c r="F29" s="102" t="e">
        <f aca="true" t="shared" si="4" ref="F29:F35">D29/E29</f>
        <v>#DIV/0!</v>
      </c>
      <c r="G29" s="84"/>
      <c r="H29" s="101"/>
      <c r="I29" s="85"/>
      <c r="J29" s="21"/>
    </row>
    <row r="30" spans="1:10" ht="12.75" outlineLevel="1">
      <c r="A30" s="82" t="s">
        <v>35</v>
      </c>
      <c r="B30" s="86" t="s">
        <v>4</v>
      </c>
      <c r="C30" s="148">
        <v>0</v>
      </c>
      <c r="D30" s="148">
        <f t="shared" si="2"/>
        <v>0</v>
      </c>
      <c r="E30" s="148">
        <f t="shared" si="0"/>
        <v>0</v>
      </c>
      <c r="F30" s="102" t="e">
        <f t="shared" si="4"/>
        <v>#DIV/0!</v>
      </c>
      <c r="G30" s="84"/>
      <c r="H30" s="101"/>
      <c r="I30" s="85"/>
      <c r="J30" s="21"/>
    </row>
    <row r="31" spans="1:10" ht="12.75" outlineLevel="1">
      <c r="A31" s="82" t="s">
        <v>86</v>
      </c>
      <c r="B31" s="86" t="s">
        <v>19</v>
      </c>
      <c r="C31" s="148">
        <f>'Расшифровка затрат'!K36</f>
        <v>257.8922931165999</v>
      </c>
      <c r="D31" s="148">
        <f t="shared" si="2"/>
        <v>0</v>
      </c>
      <c r="E31" s="148">
        <f t="shared" si="0"/>
        <v>0</v>
      </c>
      <c r="F31" s="102" t="e">
        <f t="shared" si="4"/>
        <v>#DIV/0!</v>
      </c>
      <c r="G31" s="84"/>
      <c r="H31" s="101"/>
      <c r="I31" s="85"/>
      <c r="J31" s="21"/>
    </row>
    <row r="32" spans="1:10" ht="12.75" outlineLevel="1">
      <c r="A32" s="82" t="s">
        <v>87</v>
      </c>
      <c r="B32" s="86" t="s">
        <v>95</v>
      </c>
      <c r="C32" s="148">
        <f>'Расшифровка затрат'!P38</f>
        <v>39.23499052494878</v>
      </c>
      <c r="D32" s="148">
        <f t="shared" si="2"/>
        <v>0</v>
      </c>
      <c r="E32" s="148">
        <f t="shared" si="0"/>
        <v>0</v>
      </c>
      <c r="F32" s="102" t="e">
        <f t="shared" si="4"/>
        <v>#DIV/0!</v>
      </c>
      <c r="G32" s="84"/>
      <c r="H32" s="101"/>
      <c r="I32" s="85"/>
      <c r="J32" s="21"/>
    </row>
    <row r="33" spans="1:10" ht="12.75" outlineLevel="1">
      <c r="A33" s="82" t="s">
        <v>88</v>
      </c>
      <c r="B33" s="86" t="s">
        <v>96</v>
      </c>
      <c r="C33" s="148">
        <f>'Расшифровка затрат'!P39</f>
        <v>0.8346730536841286</v>
      </c>
      <c r="D33" s="148">
        <f t="shared" si="2"/>
        <v>0</v>
      </c>
      <c r="E33" s="148">
        <f t="shared" si="0"/>
        <v>0</v>
      </c>
      <c r="F33" s="102" t="e">
        <f t="shared" si="4"/>
        <v>#DIV/0!</v>
      </c>
      <c r="G33" s="84"/>
      <c r="H33" s="101"/>
      <c r="I33" s="85"/>
      <c r="J33" s="21"/>
    </row>
    <row r="34" spans="1:10" ht="12.75" hidden="1" outlineLevel="1">
      <c r="A34" s="82" t="s">
        <v>89</v>
      </c>
      <c r="B34" s="86" t="s">
        <v>66</v>
      </c>
      <c r="C34" s="148">
        <v>0</v>
      </c>
      <c r="D34" s="148">
        <f t="shared" si="2"/>
        <v>0</v>
      </c>
      <c r="E34" s="148">
        <f t="shared" si="0"/>
        <v>0</v>
      </c>
      <c r="F34" s="102" t="e">
        <f t="shared" si="4"/>
        <v>#DIV/0!</v>
      </c>
      <c r="G34" s="84"/>
      <c r="H34" s="101"/>
      <c r="I34" s="85"/>
      <c r="J34" s="21"/>
    </row>
    <row r="35" spans="1:10" ht="12.75" hidden="1" outlineLevel="1">
      <c r="A35" s="82" t="s">
        <v>90</v>
      </c>
      <c r="B35" s="86" t="s">
        <v>67</v>
      </c>
      <c r="C35" s="148">
        <v>0</v>
      </c>
      <c r="D35" s="148">
        <f t="shared" si="2"/>
        <v>0</v>
      </c>
      <c r="E35" s="148">
        <f t="shared" si="0"/>
        <v>0</v>
      </c>
      <c r="F35" s="102" t="e">
        <f t="shared" si="4"/>
        <v>#DIV/0!</v>
      </c>
      <c r="G35" s="84"/>
      <c r="H35" s="101"/>
      <c r="I35" s="85"/>
      <c r="J35" s="21"/>
    </row>
    <row r="36" spans="1:11" s="68" customFormat="1" ht="38.25" customHeight="1" collapsed="1">
      <c r="A36" s="93" t="s">
        <v>17</v>
      </c>
      <c r="B36" s="94" t="s">
        <v>91</v>
      </c>
      <c r="C36" s="147">
        <f>SUM(C37:C42)</f>
        <v>2184.2874111041556</v>
      </c>
      <c r="D36" s="147">
        <f>SUM(D37:D42)</f>
        <v>0</v>
      </c>
      <c r="E36" s="147">
        <f t="shared" si="0"/>
        <v>0</v>
      </c>
      <c r="F36" s="147" t="e">
        <f>SUM(F37:F42)</f>
        <v>#DIV/0!</v>
      </c>
      <c r="G36" s="84" t="e">
        <f>C36/#REF!</f>
        <v>#REF!</v>
      </c>
      <c r="H36" s="101"/>
      <c r="I36" s="85"/>
      <c r="J36" s="21"/>
      <c r="K36" s="66"/>
    </row>
    <row r="37" spans="1:9" ht="12.75" outlineLevel="1">
      <c r="A37" s="82" t="s">
        <v>42</v>
      </c>
      <c r="B37" s="83" t="s">
        <v>61</v>
      </c>
      <c r="C37" s="148">
        <f>'Расшифровка затрат'!G48</f>
        <v>548.2621613394216</v>
      </c>
      <c r="D37" s="148">
        <f t="shared" si="2"/>
        <v>0</v>
      </c>
      <c r="E37" s="148">
        <f t="shared" si="0"/>
        <v>0</v>
      </c>
      <c r="F37" s="102" t="e">
        <f aca="true" t="shared" si="5" ref="F37:F42">D37/E37</f>
        <v>#DIV/0!</v>
      </c>
      <c r="G37" s="70"/>
      <c r="I37" s="71"/>
    </row>
    <row r="38" spans="1:9" ht="12.75" outlineLevel="1">
      <c r="A38" s="82" t="s">
        <v>48</v>
      </c>
      <c r="B38" s="83" t="s">
        <v>7</v>
      </c>
      <c r="C38" s="148">
        <f>'Расшифровка затрат'!G49</f>
        <v>166.67169704718415</v>
      </c>
      <c r="D38" s="148">
        <f t="shared" si="2"/>
        <v>0</v>
      </c>
      <c r="E38" s="148">
        <f t="shared" si="0"/>
        <v>0</v>
      </c>
      <c r="F38" s="102" t="e">
        <f t="shared" si="5"/>
        <v>#DIV/0!</v>
      </c>
      <c r="G38" s="70"/>
      <c r="I38" s="71"/>
    </row>
    <row r="39" spans="1:9" ht="12.75" outlineLevel="1">
      <c r="A39" s="82" t="s">
        <v>92</v>
      </c>
      <c r="B39" s="86" t="s">
        <v>4</v>
      </c>
      <c r="C39" s="148">
        <f>'Расшифровка затрат'!O52</f>
        <v>0</v>
      </c>
      <c r="D39" s="148">
        <f t="shared" si="2"/>
        <v>0</v>
      </c>
      <c r="E39" s="148">
        <f t="shared" si="0"/>
        <v>0</v>
      </c>
      <c r="F39" s="102" t="e">
        <f t="shared" si="5"/>
        <v>#DIV/0!</v>
      </c>
      <c r="G39" s="70"/>
      <c r="I39" s="71"/>
    </row>
    <row r="40" spans="1:9" ht="12.75" outlineLevel="1">
      <c r="A40" s="82" t="s">
        <v>93</v>
      </c>
      <c r="B40" s="86" t="s">
        <v>19</v>
      </c>
      <c r="C40" s="148">
        <f>'Расшифровка затрат'!K52</f>
        <v>1289.4614655829994</v>
      </c>
      <c r="D40" s="148">
        <f t="shared" si="2"/>
        <v>0</v>
      </c>
      <c r="E40" s="148">
        <f t="shared" si="0"/>
        <v>0</v>
      </c>
      <c r="F40" s="102" t="e">
        <f t="shared" si="5"/>
        <v>#DIV/0!</v>
      </c>
      <c r="G40" s="70"/>
      <c r="I40" s="71"/>
    </row>
    <row r="41" spans="1:9" ht="12.75" outlineLevel="1">
      <c r="A41" s="82" t="s">
        <v>94</v>
      </c>
      <c r="B41" s="86" t="s">
        <v>95</v>
      </c>
      <c r="C41" s="148">
        <f>'Расшифровка затрат'!P50</f>
        <v>176.14483636446207</v>
      </c>
      <c r="D41" s="148">
        <f t="shared" si="2"/>
        <v>0</v>
      </c>
      <c r="E41" s="148">
        <f t="shared" si="0"/>
        <v>0</v>
      </c>
      <c r="F41" s="102" t="e">
        <f t="shared" si="5"/>
        <v>#DIV/0!</v>
      </c>
      <c r="G41" s="70"/>
      <c r="I41" s="71"/>
    </row>
    <row r="42" spans="1:9" ht="12.75" outlineLevel="1">
      <c r="A42" s="82" t="s">
        <v>32</v>
      </c>
      <c r="B42" s="86" t="s">
        <v>96</v>
      </c>
      <c r="C42" s="148">
        <f>'Расшифровка затрат'!P51</f>
        <v>3.747250770088178</v>
      </c>
      <c r="D42" s="148">
        <f t="shared" si="2"/>
        <v>0</v>
      </c>
      <c r="E42" s="148">
        <f t="shared" si="0"/>
        <v>0</v>
      </c>
      <c r="F42" s="102" t="e">
        <f t="shared" si="5"/>
        <v>#DIV/0!</v>
      </c>
      <c r="G42" s="70"/>
      <c r="I42" s="71"/>
    </row>
    <row r="43" spans="1:9" ht="12.75">
      <c r="A43" s="230"/>
      <c r="B43" s="231"/>
      <c r="C43" s="232"/>
      <c r="D43" s="232"/>
      <c r="E43" s="232"/>
      <c r="F43" s="233"/>
      <c r="G43" s="70"/>
      <c r="I43" s="71"/>
    </row>
    <row r="44" spans="1:9" ht="12.75">
      <c r="A44" s="230"/>
      <c r="B44" s="231"/>
      <c r="C44" s="232"/>
      <c r="D44" s="232"/>
      <c r="E44" s="232"/>
      <c r="F44" s="233"/>
      <c r="G44" s="70"/>
      <c r="I44" s="71"/>
    </row>
    <row r="45" spans="1:6" s="68" customFormat="1" ht="15" hidden="1" outlineLevel="1">
      <c r="A45" s="73"/>
      <c r="B45" s="73"/>
      <c r="C45" s="73"/>
      <c r="D45" s="126">
        <f>D6+D20+D36+D27</f>
        <v>0</v>
      </c>
      <c r="E45" s="73"/>
      <c r="F45" s="74"/>
    </row>
    <row r="46" spans="1:8" s="68" customFormat="1" ht="12.75" customHeight="1" hidden="1" outlineLevel="1">
      <c r="A46" s="73"/>
      <c r="B46" s="65"/>
      <c r="C46" s="73"/>
      <c r="D46" s="73"/>
      <c r="E46" s="73"/>
      <c r="F46" s="74"/>
      <c r="H46" s="72"/>
    </row>
    <row r="47" spans="1:6" s="75" customFormat="1" ht="11.25" customHeight="1" hidden="1" outlineLevel="1">
      <c r="A47" s="65"/>
      <c r="B47" s="65"/>
      <c r="C47" s="159" t="s">
        <v>192</v>
      </c>
      <c r="D47" s="160">
        <f>D7+D21+D37+D28</f>
        <v>0</v>
      </c>
      <c r="E47" s="79"/>
      <c r="F47" s="78"/>
    </row>
    <row r="48" spans="1:5" ht="12" customHeight="1" hidden="1" outlineLevel="1">
      <c r="A48" s="76"/>
      <c r="B48" s="77"/>
      <c r="C48" s="161" t="s">
        <v>193</v>
      </c>
      <c r="D48" s="162">
        <f>D8+D22+D38+D29</f>
        <v>0</v>
      </c>
      <c r="E48" s="79"/>
    </row>
    <row r="49" spans="3:5" ht="12" customHeight="1" hidden="1" outlineLevel="1">
      <c r="C49" s="159" t="s">
        <v>194</v>
      </c>
      <c r="D49" s="160">
        <f>D10+D24+D40+D31</f>
        <v>0</v>
      </c>
      <c r="E49" s="79"/>
    </row>
    <row r="50" spans="3:5" ht="12.75" hidden="1" outlineLevel="1">
      <c r="C50" s="159" t="s">
        <v>195</v>
      </c>
      <c r="D50" s="160">
        <f>D11+D25+D41+D32</f>
        <v>0</v>
      </c>
      <c r="E50" s="79"/>
    </row>
    <row r="51" spans="3:5" ht="12.75" hidden="1" outlineLevel="1">
      <c r="C51" s="159" t="s">
        <v>196</v>
      </c>
      <c r="D51" s="160">
        <f>D12+D26+D42+D33</f>
        <v>0</v>
      </c>
      <c r="E51" s="79"/>
    </row>
    <row r="52" spans="3:5" ht="12.75" hidden="1" outlineLevel="1">
      <c r="C52" s="159"/>
      <c r="D52" s="160">
        <f>SUM(D47:D51)</f>
        <v>0</v>
      </c>
      <c r="E52" s="79"/>
    </row>
    <row r="53" spans="3:5" ht="12.75" collapsed="1">
      <c r="C53" s="79"/>
      <c r="D53" s="79"/>
      <c r="E53" s="79"/>
    </row>
    <row r="54" spans="2:5" ht="15.75">
      <c r="B54" s="261" t="s">
        <v>240</v>
      </c>
      <c r="C54" s="261"/>
      <c r="D54" s="262"/>
      <c r="E54" s="262"/>
    </row>
    <row r="55" spans="3:5" ht="12.75">
      <c r="C55" s="79"/>
      <c r="D55" s="79"/>
      <c r="E55" s="79"/>
    </row>
    <row r="56" spans="3:5" ht="12.75">
      <c r="C56" s="79"/>
      <c r="D56" s="79"/>
      <c r="E56" s="79"/>
    </row>
    <row r="57" spans="3:5" ht="12.75">
      <c r="C57" s="79"/>
      <c r="D57" s="79"/>
      <c r="E57" s="79"/>
    </row>
    <row r="58" spans="3:5" ht="12.75">
      <c r="C58" s="79"/>
      <c r="D58" s="79"/>
      <c r="E58" s="79"/>
    </row>
    <row r="59" spans="3:5" ht="12.75">
      <c r="C59" s="79"/>
      <c r="D59" s="79"/>
      <c r="E59" s="79"/>
    </row>
    <row r="60" spans="3:5" ht="12.75">
      <c r="C60" s="79"/>
      <c r="D60" s="79"/>
      <c r="E60" s="79"/>
    </row>
    <row r="61" spans="3:5" ht="12.75">
      <c r="C61" s="79"/>
      <c r="D61" s="79"/>
      <c r="E61" s="79"/>
    </row>
    <row r="62" spans="3:5" ht="12.75">
      <c r="C62" s="79"/>
      <c r="D62" s="79"/>
      <c r="E62" s="79"/>
    </row>
    <row r="63" spans="3:5" ht="12.75">
      <c r="C63" s="79"/>
      <c r="D63" s="79"/>
      <c r="E63" s="79"/>
    </row>
    <row r="64" spans="3:5" ht="12.75">
      <c r="C64" s="79"/>
      <c r="D64" s="79"/>
      <c r="E64" s="79"/>
    </row>
    <row r="65" spans="3:5" ht="12.75">
      <c r="C65" s="79"/>
      <c r="D65" s="79"/>
      <c r="E65" s="79"/>
    </row>
  </sheetData>
  <sheetProtection/>
  <mergeCells count="2">
    <mergeCell ref="A2:F2"/>
    <mergeCell ref="B54:E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:D50"/>
    </sheetView>
  </sheetViews>
  <sheetFormatPr defaultColWidth="9.140625" defaultRowHeight="12.75" outlineLevelRow="1"/>
  <cols>
    <col min="1" max="1" width="9.00390625" style="0" customWidth="1"/>
    <col min="2" max="2" width="49.7109375" style="0" customWidth="1"/>
    <col min="3" max="3" width="24.8515625" style="0" customWidth="1"/>
    <col min="4" max="4" width="24.140625" style="0" customWidth="1"/>
    <col min="5" max="5" width="15.57421875" style="0" customWidth="1"/>
    <col min="6" max="6" width="12.8515625" style="0" bestFit="1" customWidth="1"/>
  </cols>
  <sheetData>
    <row r="1" spans="3:4" ht="18.75">
      <c r="C1" s="105"/>
      <c r="D1" s="124"/>
    </row>
    <row r="2" spans="1:4" ht="12.75">
      <c r="A2" s="106"/>
      <c r="C2" s="23"/>
      <c r="D2" s="125"/>
    </row>
    <row r="3" spans="1:4" ht="16.5">
      <c r="A3" s="273" t="s">
        <v>97</v>
      </c>
      <c r="B3" s="273"/>
      <c r="C3" s="273"/>
      <c r="D3" s="273"/>
    </row>
    <row r="4" spans="1:4" ht="33" customHeight="1">
      <c r="A4" s="274" t="s">
        <v>268</v>
      </c>
      <c r="B4" s="274"/>
      <c r="C4" s="274"/>
      <c r="D4" s="274"/>
    </row>
    <row r="5" spans="4:5" ht="16.5" thickBot="1">
      <c r="D5" s="107" t="s">
        <v>98</v>
      </c>
      <c r="E5" s="108"/>
    </row>
    <row r="6" spans="1:6" ht="32.25" customHeight="1" thickBot="1">
      <c r="A6" s="109" t="s">
        <v>99</v>
      </c>
      <c r="B6" s="109" t="s">
        <v>100</v>
      </c>
      <c r="C6" s="223" t="s">
        <v>277</v>
      </c>
      <c r="D6" s="109" t="s">
        <v>269</v>
      </c>
      <c r="E6" s="110"/>
      <c r="F6" s="110"/>
    </row>
    <row r="7" spans="1:4" ht="19.5" thickBot="1">
      <c r="A7" s="111">
        <v>1</v>
      </c>
      <c r="B7" s="112">
        <v>2</v>
      </c>
      <c r="C7" s="112">
        <v>3</v>
      </c>
      <c r="D7" s="222">
        <v>4</v>
      </c>
    </row>
    <row r="8" spans="1:5" ht="15">
      <c r="A8" s="275" t="s">
        <v>101</v>
      </c>
      <c r="B8" s="113" t="s">
        <v>102</v>
      </c>
      <c r="C8" s="277">
        <f>C10+C11+C12+C13+C14+C34</f>
        <v>215.04571459886586</v>
      </c>
      <c r="D8" s="279">
        <f>D10+D11+D12+D13+D14+D34</f>
        <v>178.5046924783278</v>
      </c>
      <c r="E8" s="108"/>
    </row>
    <row r="9" spans="1:5" ht="15.75" thickBot="1">
      <c r="A9" s="276"/>
      <c r="B9" s="114" t="s">
        <v>103</v>
      </c>
      <c r="C9" s="278"/>
      <c r="D9" s="280"/>
      <c r="E9" s="108"/>
    </row>
    <row r="10" spans="1:4" ht="15.75" thickBot="1">
      <c r="A10" s="115" t="s">
        <v>104</v>
      </c>
      <c r="B10" s="114" t="s">
        <v>105</v>
      </c>
      <c r="C10" s="116"/>
      <c r="D10" s="116"/>
    </row>
    <row r="11" spans="1:4" ht="15.75" thickBot="1">
      <c r="A11" s="115" t="s">
        <v>106</v>
      </c>
      <c r="B11" s="114" t="s">
        <v>107</v>
      </c>
      <c r="C11" s="116"/>
      <c r="D11" s="116"/>
    </row>
    <row r="12" spans="1:4" ht="15.75" thickBot="1">
      <c r="A12" s="115" t="s">
        <v>108</v>
      </c>
      <c r="B12" s="114" t="s">
        <v>109</v>
      </c>
      <c r="C12" s="116">
        <f>135692.074717317/1000</f>
        <v>135.692074717317</v>
      </c>
      <c r="D12" s="116">
        <f>('до 15 кВт- льготн. катег. '!D46+'до 150 без проверки и осмотра'!D47+'до 150 с проверкой без осмотра'!D47+'св. 150 менее 670'!D47+'670 до 1500'!D47)/1000</f>
        <v>72.02048353120242</v>
      </c>
    </row>
    <row r="13" spans="1:6" ht="15.75" thickBot="1">
      <c r="A13" s="115" t="s">
        <v>110</v>
      </c>
      <c r="B13" s="114" t="s">
        <v>111</v>
      </c>
      <c r="C13" s="116">
        <f>28.01099+1.26297+9.58116+2.22109+0.17421</f>
        <v>41.25042</v>
      </c>
      <c r="D13" s="116">
        <f>('до 15 кВт- льготн. катег. '!D47+'до 150 без проверки и осмотра'!D48+'до 150 с проверкой без осмотра'!D48+'св. 150 менее 670'!D48+'670 до 1500'!D48)/1000</f>
        <v>21.894226993485535</v>
      </c>
      <c r="E13" s="117"/>
      <c r="F13" s="117"/>
    </row>
    <row r="14" spans="1:4" ht="15.75" thickBot="1">
      <c r="A14" s="115" t="s">
        <v>112</v>
      </c>
      <c r="B14" s="114" t="s">
        <v>113</v>
      </c>
      <c r="C14" s="116">
        <f>C15+C17+C18</f>
        <v>37.82575</v>
      </c>
      <c r="D14" s="116">
        <f>D15+D17+D18</f>
        <v>84.28374851432537</v>
      </c>
    </row>
    <row r="15" spans="1:4" ht="15">
      <c r="A15" s="275" t="s">
        <v>114</v>
      </c>
      <c r="B15" s="113" t="s">
        <v>115</v>
      </c>
      <c r="C15" s="279">
        <v>35.49939</v>
      </c>
      <c r="D15" s="279">
        <f>('до 15 кВт- льготн. катег. '!D48+'до 150 без проверки и осмотра'!D49+'до 150 с проверкой без осмотра'!D49+'св. 150 менее 670'!D49+'670 до 1500'!D49)/1000</f>
        <v>69.88881143459857</v>
      </c>
    </row>
    <row r="16" spans="1:4" ht="15.75" thickBot="1">
      <c r="A16" s="276"/>
      <c r="B16" s="114" t="s">
        <v>116</v>
      </c>
      <c r="C16" s="280"/>
      <c r="D16" s="280"/>
    </row>
    <row r="17" spans="1:6" ht="30.75" thickBot="1">
      <c r="A17" s="115" t="s">
        <v>117</v>
      </c>
      <c r="B17" s="114" t="s">
        <v>118</v>
      </c>
      <c r="C17" s="116"/>
      <c r="D17" s="116">
        <v>0</v>
      </c>
      <c r="F17" s="118"/>
    </row>
    <row r="18" spans="1:4" ht="15">
      <c r="A18" s="275" t="s">
        <v>119</v>
      </c>
      <c r="B18" s="113" t="s">
        <v>120</v>
      </c>
      <c r="C18" s="279">
        <f>C20+C21+C23+C25+C26</f>
        <v>2.32636</v>
      </c>
      <c r="D18" s="279">
        <f>D20+D21+D23+D25+D26</f>
        <v>14.394937079726805</v>
      </c>
    </row>
    <row r="19" spans="1:4" ht="15.75" thickBot="1">
      <c r="A19" s="276"/>
      <c r="B19" s="114" t="s">
        <v>121</v>
      </c>
      <c r="C19" s="280"/>
      <c r="D19" s="280"/>
    </row>
    <row r="20" spans="1:4" ht="15.75" thickBot="1">
      <c r="A20" s="115" t="s">
        <v>122</v>
      </c>
      <c r="B20" s="114" t="s">
        <v>123</v>
      </c>
      <c r="C20" s="116"/>
      <c r="D20" s="116"/>
    </row>
    <row r="21" spans="1:4" ht="15">
      <c r="A21" s="275" t="s">
        <v>124</v>
      </c>
      <c r="B21" s="113" t="s">
        <v>125</v>
      </c>
      <c r="C21" s="279"/>
      <c r="D21" s="279"/>
    </row>
    <row r="22" spans="1:4" ht="15.75" thickBot="1">
      <c r="A22" s="276"/>
      <c r="B22" s="114" t="s">
        <v>126</v>
      </c>
      <c r="C22" s="280"/>
      <c r="D22" s="280"/>
    </row>
    <row r="23" spans="1:4" ht="15">
      <c r="A23" s="275" t="s">
        <v>127</v>
      </c>
      <c r="B23" s="113" t="s">
        <v>128</v>
      </c>
      <c r="C23" s="279"/>
      <c r="D23" s="279"/>
    </row>
    <row r="24" spans="1:4" ht="15.75" thickBot="1">
      <c r="A24" s="276"/>
      <c r="B24" s="114" t="s">
        <v>129</v>
      </c>
      <c r="C24" s="280"/>
      <c r="D24" s="280"/>
    </row>
    <row r="25" spans="1:4" ht="15.75" thickBot="1">
      <c r="A25" s="115" t="s">
        <v>130</v>
      </c>
      <c r="B25" s="114" t="s">
        <v>131</v>
      </c>
      <c r="C25" s="116"/>
      <c r="D25" s="116"/>
    </row>
    <row r="26" spans="1:4" ht="15">
      <c r="A26" s="275" t="s">
        <v>132</v>
      </c>
      <c r="B26" s="113" t="s">
        <v>133</v>
      </c>
      <c r="C26" s="279">
        <f>2.32636</f>
        <v>2.32636</v>
      </c>
      <c r="D26" s="279">
        <f>('до 15 кВт- льготн. катег. '!D49+'до 150 без проверки и осмотра'!D50+'до 150 с проверкой без осмотра'!D50+'св. 150 менее 670'!D50+'670 до 1500'!D50)/1000</f>
        <v>14.394937079726805</v>
      </c>
    </row>
    <row r="27" spans="1:4" ht="15.75" thickBot="1">
      <c r="A27" s="276"/>
      <c r="B27" s="114" t="s">
        <v>134</v>
      </c>
      <c r="C27" s="280"/>
      <c r="D27" s="280"/>
    </row>
    <row r="28" spans="1:4" s="122" customFormat="1" ht="15.75" hidden="1" outlineLevel="1" thickBot="1">
      <c r="A28" s="119" t="s">
        <v>135</v>
      </c>
      <c r="B28" s="120" t="s">
        <v>136</v>
      </c>
      <c r="C28" s="121"/>
      <c r="D28" s="121"/>
    </row>
    <row r="29" spans="1:4" s="122" customFormat="1" ht="15.75" hidden="1" outlineLevel="1" thickBot="1">
      <c r="A29" s="119" t="s">
        <v>137</v>
      </c>
      <c r="B29" s="120" t="s">
        <v>138</v>
      </c>
      <c r="C29" s="121"/>
      <c r="D29" s="121"/>
    </row>
    <row r="30" spans="1:4" s="122" customFormat="1" ht="15.75" hidden="1" outlineLevel="1" thickBot="1">
      <c r="A30" s="119" t="s">
        <v>139</v>
      </c>
      <c r="B30" s="120" t="s">
        <v>140</v>
      </c>
      <c r="C30" s="121"/>
      <c r="D30" s="121"/>
    </row>
    <row r="31" spans="1:4" s="122" customFormat="1" ht="15.75" hidden="1" outlineLevel="1" thickBot="1">
      <c r="A31" s="119" t="s">
        <v>141</v>
      </c>
      <c r="B31" s="120" t="s">
        <v>142</v>
      </c>
      <c r="C31" s="121"/>
      <c r="D31" s="121"/>
    </row>
    <row r="32" spans="1:4" s="122" customFormat="1" ht="15.75" hidden="1" outlineLevel="1" thickBot="1">
      <c r="A32" s="119" t="s">
        <v>143</v>
      </c>
      <c r="B32" s="120" t="s">
        <v>144</v>
      </c>
      <c r="C32" s="121"/>
      <c r="D32" s="121"/>
    </row>
    <row r="33" spans="1:4" s="122" customFormat="1" ht="15.75" hidden="1" outlineLevel="1" thickBot="1">
      <c r="A33" s="119" t="s">
        <v>145</v>
      </c>
      <c r="B33" s="120" t="s">
        <v>146</v>
      </c>
      <c r="C33" s="121"/>
      <c r="D33" s="121"/>
    </row>
    <row r="34" spans="1:4" ht="15.75" collapsed="1" thickBot="1">
      <c r="A34" s="115" t="s">
        <v>147</v>
      </c>
      <c r="B34" s="114" t="s">
        <v>148</v>
      </c>
      <c r="C34" s="116">
        <f>C35</f>
        <v>0.27746988154886765</v>
      </c>
      <c r="D34" s="116">
        <f>('до 15 кВт- льготн. катег. '!D50+'до 150 без проверки и осмотра'!D51+'до 150 с проверкой без осмотра'!D51+'св. 150 менее 670'!D51+'670 до 1500'!D51)/1000</f>
        <v>0.3062334393144893</v>
      </c>
    </row>
    <row r="35" spans="1:4" ht="15.75" thickBot="1">
      <c r="A35" s="115" t="s">
        <v>149</v>
      </c>
      <c r="B35" s="114" t="s">
        <v>150</v>
      </c>
      <c r="C35" s="116">
        <f>161.7383*общехоз!H18</f>
        <v>0.27746988154886765</v>
      </c>
      <c r="D35" s="116">
        <v>0.31</v>
      </c>
    </row>
    <row r="36" spans="1:4" ht="15.75" thickBot="1">
      <c r="A36" s="115" t="s">
        <v>151</v>
      </c>
      <c r="B36" s="114" t="s">
        <v>152</v>
      </c>
      <c r="C36" s="116"/>
      <c r="D36" s="116">
        <v>0</v>
      </c>
    </row>
    <row r="37" spans="1:4" ht="15.75" thickBot="1">
      <c r="A37" s="115" t="s">
        <v>153</v>
      </c>
      <c r="B37" s="114" t="s">
        <v>154</v>
      </c>
      <c r="C37" s="116"/>
      <c r="D37" s="116">
        <v>0</v>
      </c>
    </row>
    <row r="38" spans="1:4" ht="15">
      <c r="A38" s="275" t="s">
        <v>155</v>
      </c>
      <c r="B38" s="113" t="s">
        <v>156</v>
      </c>
      <c r="C38" s="279"/>
      <c r="D38" s="279">
        <v>0</v>
      </c>
    </row>
    <row r="39" spans="1:4" ht="15.75" thickBot="1">
      <c r="A39" s="276"/>
      <c r="B39" s="114" t="s">
        <v>157</v>
      </c>
      <c r="C39" s="280"/>
      <c r="D39" s="280"/>
    </row>
    <row r="40" spans="1:4" ht="15">
      <c r="A40" s="275" t="s">
        <v>158</v>
      </c>
      <c r="B40" s="113" t="s">
        <v>159</v>
      </c>
      <c r="C40" s="279"/>
      <c r="D40" s="279"/>
    </row>
    <row r="41" spans="1:4" ht="15">
      <c r="A41" s="281"/>
      <c r="B41" s="113" t="s">
        <v>160</v>
      </c>
      <c r="C41" s="282"/>
      <c r="D41" s="282"/>
    </row>
    <row r="42" spans="1:4" ht="15">
      <c r="A42" s="281"/>
      <c r="B42" s="113" t="s">
        <v>161</v>
      </c>
      <c r="C42" s="282"/>
      <c r="D42" s="282"/>
    </row>
    <row r="43" spans="1:4" ht="15">
      <c r="A43" s="281"/>
      <c r="B43" s="113" t="s">
        <v>162</v>
      </c>
      <c r="C43" s="282"/>
      <c r="D43" s="282"/>
    </row>
    <row r="44" spans="1:4" ht="15">
      <c r="A44" s="281"/>
      <c r="B44" s="113" t="s">
        <v>163</v>
      </c>
      <c r="C44" s="282"/>
      <c r="D44" s="282"/>
    </row>
    <row r="45" spans="1:4" ht="15.75" thickBot="1">
      <c r="A45" s="276"/>
      <c r="B45" s="114" t="s">
        <v>164</v>
      </c>
      <c r="C45" s="280"/>
      <c r="D45" s="280"/>
    </row>
    <row r="46" spans="1:4" ht="15.75" thickBot="1">
      <c r="A46" s="115" t="s">
        <v>165</v>
      </c>
      <c r="B46" s="114" t="s">
        <v>166</v>
      </c>
      <c r="C46" s="116">
        <f>-182.2618</f>
        <v>-182.2618</v>
      </c>
      <c r="D46" s="116">
        <v>0</v>
      </c>
    </row>
    <row r="47" spans="1:5" ht="15.75" thickBot="1">
      <c r="A47" s="115" t="s">
        <v>167</v>
      </c>
      <c r="B47" s="114" t="s">
        <v>168</v>
      </c>
      <c r="C47" s="116">
        <f>C8+C40+C46</f>
        <v>32.78391459886586</v>
      </c>
      <c r="D47" s="116">
        <f>D8+D40+D46</f>
        <v>178.5046924783278</v>
      </c>
      <c r="E47" s="127"/>
    </row>
    <row r="48" ht="18.75">
      <c r="A48" s="123"/>
    </row>
    <row r="49" ht="43.5" customHeight="1">
      <c r="A49" s="123"/>
    </row>
    <row r="50" spans="1:4" ht="42" customHeight="1">
      <c r="A50" s="261" t="s">
        <v>240</v>
      </c>
      <c r="B50" s="261"/>
      <c r="C50" s="262"/>
      <c r="D50" s="262"/>
    </row>
  </sheetData>
  <sheetProtection/>
  <mergeCells count="27">
    <mergeCell ref="A50:D50"/>
    <mergeCell ref="A26:A27"/>
    <mergeCell ref="C26:C27"/>
    <mergeCell ref="D26:D27"/>
    <mergeCell ref="A38:A39"/>
    <mergeCell ref="C38:C39"/>
    <mergeCell ref="D38:D39"/>
    <mergeCell ref="A23:A24"/>
    <mergeCell ref="C23:C24"/>
    <mergeCell ref="D23:D24"/>
    <mergeCell ref="A40:A45"/>
    <mergeCell ref="C40:C45"/>
    <mergeCell ref="D40:D45"/>
    <mergeCell ref="A18:A19"/>
    <mergeCell ref="C18:C19"/>
    <mergeCell ref="D18:D19"/>
    <mergeCell ref="A21:A22"/>
    <mergeCell ref="C21:C22"/>
    <mergeCell ref="D21:D22"/>
    <mergeCell ref="A3:D3"/>
    <mergeCell ref="A4:D4"/>
    <mergeCell ref="A8:A9"/>
    <mergeCell ref="C8:C9"/>
    <mergeCell ref="D8:D9"/>
    <mergeCell ref="A15:A16"/>
    <mergeCell ref="C15:C16"/>
    <mergeCell ref="D15:D16"/>
  </mergeCells>
  <printOptions/>
  <pageMargins left="0.7086614173228347" right="0.22" top="0.45" bottom="0.24" header="0.31496062992125984" footer="0.2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PageLayoutView="0" workbookViewId="0" topLeftCell="A1">
      <selection activeCell="B15" sqref="B15:E15"/>
    </sheetView>
  </sheetViews>
  <sheetFormatPr defaultColWidth="9.140625" defaultRowHeight="12.75"/>
  <cols>
    <col min="1" max="1" width="36.57421875" style="129" customWidth="1"/>
    <col min="2" max="2" width="18.8515625" style="129" customWidth="1"/>
    <col min="3" max="3" width="18.28125" style="129" customWidth="1"/>
    <col min="4" max="4" width="14.00390625" style="129" customWidth="1"/>
    <col min="5" max="5" width="17.140625" style="129" customWidth="1"/>
    <col min="6" max="6" width="15.421875" style="129" customWidth="1"/>
    <col min="7" max="7" width="15.00390625" style="129" customWidth="1"/>
    <col min="8" max="8" width="12.57421875" style="129" customWidth="1"/>
    <col min="9" max="16384" width="9.140625" style="129" customWidth="1"/>
  </cols>
  <sheetData>
    <row r="2" spans="1:6" ht="70.5" customHeight="1">
      <c r="A2" s="283" t="s">
        <v>232</v>
      </c>
      <c r="B2" s="283"/>
      <c r="C2" s="283"/>
      <c r="D2" s="284"/>
      <c r="E2" s="284"/>
      <c r="F2" s="284"/>
    </row>
    <row r="3" ht="21" customHeight="1" thickBot="1"/>
    <row r="4" spans="1:8" ht="106.5" customHeight="1" thickBot="1">
      <c r="A4" s="285" t="s">
        <v>170</v>
      </c>
      <c r="B4" s="131" t="s">
        <v>270</v>
      </c>
      <c r="C4" s="131" t="s">
        <v>271</v>
      </c>
      <c r="D4" s="132" t="s">
        <v>171</v>
      </c>
      <c r="E4" s="130" t="s">
        <v>272</v>
      </c>
      <c r="F4" s="130" t="s">
        <v>273</v>
      </c>
      <c r="G4" s="130" t="s">
        <v>226</v>
      </c>
      <c r="H4" s="130" t="s">
        <v>274</v>
      </c>
    </row>
    <row r="5" spans="1:8" ht="16.5" customHeight="1" thickBot="1">
      <c r="A5" s="286"/>
      <c r="B5" s="133" t="s">
        <v>172</v>
      </c>
      <c r="C5" s="133" t="s">
        <v>172</v>
      </c>
      <c r="D5" s="133" t="s">
        <v>172</v>
      </c>
      <c r="E5" s="133" t="s">
        <v>172</v>
      </c>
      <c r="F5" s="134" t="s">
        <v>172</v>
      </c>
      <c r="G5" s="134" t="s">
        <v>172</v>
      </c>
      <c r="H5" s="134" t="s">
        <v>172</v>
      </c>
    </row>
    <row r="6" spans="1:8" ht="13.5" thickBot="1">
      <c r="A6" s="135">
        <v>1</v>
      </c>
      <c r="B6" s="136">
        <v>2</v>
      </c>
      <c r="C6" s="136">
        <v>3</v>
      </c>
      <c r="D6" s="137">
        <v>4</v>
      </c>
      <c r="E6" s="137">
        <v>5</v>
      </c>
      <c r="F6" s="173">
        <v>6</v>
      </c>
      <c r="G6" s="173">
        <v>7</v>
      </c>
      <c r="H6" s="173">
        <v>8</v>
      </c>
    </row>
    <row r="7" spans="1:8" ht="13.5" thickBot="1">
      <c r="A7" s="138" t="s">
        <v>233</v>
      </c>
      <c r="B7" s="139"/>
      <c r="C7" s="139"/>
      <c r="D7" s="140"/>
      <c r="E7" s="140"/>
      <c r="F7" s="140"/>
      <c r="G7" s="140"/>
      <c r="H7" s="140"/>
    </row>
    <row r="8" spans="1:8" ht="147" customHeight="1" thickBot="1">
      <c r="A8" s="184" t="s">
        <v>234</v>
      </c>
      <c r="B8" s="142">
        <f>'до 150 с проверкой без осмотра'!E5</f>
        <v>180</v>
      </c>
      <c r="C8" s="186">
        <f>'до 150 с проверкой без осмотра'!I3</f>
        <v>3</v>
      </c>
      <c r="D8" s="145">
        <f>'до 150 с проверкой без осмотра'!C5</f>
        <v>5297.44486715637</v>
      </c>
      <c r="E8" s="146">
        <f>C8*D8</f>
        <v>15892.334601469109</v>
      </c>
      <c r="F8" s="174">
        <f>E8/B8</f>
        <v>88.29074778593949</v>
      </c>
      <c r="G8" s="174">
        <v>78.68</v>
      </c>
      <c r="H8" s="194">
        <f>F8/G8*100</f>
        <v>112.21498193434098</v>
      </c>
    </row>
    <row r="9" spans="1:8" ht="115.5" customHeight="1" thickBot="1">
      <c r="A9" s="185" t="s">
        <v>235</v>
      </c>
      <c r="B9" s="142">
        <f>'до 150 без проверки и осмотра'!E5</f>
        <v>370</v>
      </c>
      <c r="C9" s="186">
        <f>'до 150 без проверки и осмотра'!I3</f>
        <v>6</v>
      </c>
      <c r="D9" s="145">
        <f>'до 150 без проверки и осмотра'!C5</f>
        <v>4612.599375280942</v>
      </c>
      <c r="E9" s="146">
        <f>C9*D9</f>
        <v>27675.596251685653</v>
      </c>
      <c r="F9" s="174">
        <f>E9/B9</f>
        <v>74.7989087883396</v>
      </c>
      <c r="G9" s="174">
        <v>68.03</v>
      </c>
      <c r="H9" s="194">
        <f>F9/G9*100</f>
        <v>109.9498879734523</v>
      </c>
    </row>
    <row r="10" spans="1:8" ht="45" customHeight="1" thickBot="1">
      <c r="A10" s="169" t="s">
        <v>236</v>
      </c>
      <c r="B10" s="142">
        <f>'св. 150 менее 670'!E5</f>
        <v>630</v>
      </c>
      <c r="C10" s="186">
        <f>'св. 150 менее 670'!I3</f>
        <v>1</v>
      </c>
      <c r="D10" s="145">
        <f>'св. 150 менее 670'!C5</f>
        <v>5783.9791173067015</v>
      </c>
      <c r="E10" s="146">
        <f>C10*D10</f>
        <v>5783.9791173067015</v>
      </c>
      <c r="F10" s="174">
        <f>E10/B10</f>
        <v>9.18091923382016</v>
      </c>
      <c r="G10" s="174">
        <v>12.38</v>
      </c>
      <c r="H10" s="194">
        <f>F10/G10*100</f>
        <v>74.15928298723877</v>
      </c>
    </row>
    <row r="11" spans="1:8" ht="45" customHeight="1" thickBot="1">
      <c r="A11" s="169" t="s">
        <v>239</v>
      </c>
      <c r="B11" s="142">
        <f>'670 до 1500'!E5</f>
        <v>0</v>
      </c>
      <c r="C11" s="186">
        <f>'670 до 1500'!I3</f>
        <v>0</v>
      </c>
      <c r="D11" s="145">
        <f>'670 до 1500'!C5</f>
        <v>5783.9791173067015</v>
      </c>
      <c r="E11" s="146">
        <f>C11*D11</f>
        <v>0</v>
      </c>
      <c r="F11" s="174" t="e">
        <f>E11/B11</f>
        <v>#DIV/0!</v>
      </c>
      <c r="G11" s="196">
        <v>6.07</v>
      </c>
      <c r="H11" s="194"/>
    </row>
    <row r="12" spans="1:8" ht="15.75" customHeight="1" thickBot="1">
      <c r="A12" s="135" t="s">
        <v>173</v>
      </c>
      <c r="B12" s="142">
        <f>B8+B9+B10+B11</f>
        <v>1180</v>
      </c>
      <c r="C12" s="142">
        <f>C8+C9+C10+C11</f>
        <v>10</v>
      </c>
      <c r="D12" s="145">
        <f>E12/C12</f>
        <v>4935.190997046146</v>
      </c>
      <c r="E12" s="142">
        <f>E8+E9+E10+E11</f>
        <v>49351.90997046146</v>
      </c>
      <c r="F12" s="174">
        <f>E12/B12</f>
        <v>41.823652517340214</v>
      </c>
      <c r="G12" s="174"/>
      <c r="H12" s="194"/>
    </row>
    <row r="14" ht="12.75">
      <c r="E14" s="144"/>
    </row>
    <row r="15" spans="2:5" ht="15.75">
      <c r="B15" s="261" t="s">
        <v>240</v>
      </c>
      <c r="C15" s="261"/>
      <c r="D15" s="262"/>
      <c r="E15" s="262"/>
    </row>
  </sheetData>
  <sheetProtection/>
  <mergeCells count="3">
    <mergeCell ref="A2:F2"/>
    <mergeCell ref="A4:A5"/>
    <mergeCell ref="B15:E15"/>
  </mergeCells>
  <printOptions/>
  <pageMargins left="0.7086614173228347" right="0.4330708661417323" top="0.7480314960629921" bottom="0.4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" width="7.8515625" style="0" customWidth="1"/>
    <col min="2" max="2" width="39.421875" style="0" customWidth="1"/>
    <col min="3" max="3" width="15.57421875" style="0" customWidth="1"/>
  </cols>
  <sheetData>
    <row r="1" spans="1:3" ht="12.75">
      <c r="A1" s="287"/>
      <c r="B1" s="287"/>
      <c r="C1" s="287"/>
    </row>
    <row r="2" spans="1:3" ht="42" customHeight="1">
      <c r="A2" s="288" t="s">
        <v>241</v>
      </c>
      <c r="B2" s="288"/>
      <c r="C2" s="288"/>
    </row>
    <row r="3" spans="1:4" ht="30">
      <c r="A3" s="152" t="s">
        <v>184</v>
      </c>
      <c r="B3" s="152" t="s">
        <v>185</v>
      </c>
      <c r="C3" s="152" t="s">
        <v>186</v>
      </c>
      <c r="D3" s="198"/>
    </row>
    <row r="4" spans="1:4" ht="12.75">
      <c r="A4" s="153">
        <v>1</v>
      </c>
      <c r="B4" s="153">
        <v>2</v>
      </c>
      <c r="C4" s="153">
        <v>3</v>
      </c>
      <c r="D4" s="108"/>
    </row>
    <row r="5" spans="1:4" ht="12.75">
      <c r="A5" s="153">
        <v>1</v>
      </c>
      <c r="B5" s="154" t="s">
        <v>187</v>
      </c>
      <c r="C5" s="155">
        <v>112.66638660578387</v>
      </c>
      <c r="D5" s="199"/>
    </row>
    <row r="6" spans="1:4" ht="12.75">
      <c r="A6" s="153">
        <v>2</v>
      </c>
      <c r="B6" s="154" t="s">
        <v>201</v>
      </c>
      <c r="C6" s="155">
        <v>34.25058152815829</v>
      </c>
      <c r="D6" s="199"/>
    </row>
    <row r="7" spans="1:4" ht="12.75">
      <c r="A7" s="153">
        <v>3</v>
      </c>
      <c r="B7" s="154" t="s">
        <v>188</v>
      </c>
      <c r="C7" s="155">
        <v>30.75253292329059</v>
      </c>
      <c r="D7" s="199"/>
    </row>
    <row r="8" spans="1:4" ht="12.75">
      <c r="A8" s="153">
        <v>4</v>
      </c>
      <c r="B8" s="154" t="s">
        <v>242</v>
      </c>
      <c r="C8" s="155">
        <f>C11*0.0864</f>
        <v>44.56378825054846</v>
      </c>
      <c r="D8" s="199"/>
    </row>
    <row r="9" spans="1:4" ht="12.75">
      <c r="A9" s="153">
        <v>5</v>
      </c>
      <c r="B9" s="154" t="s">
        <v>191</v>
      </c>
      <c r="C9" s="155">
        <v>22.76649692541857</v>
      </c>
      <c r="D9" s="199"/>
    </row>
    <row r="10" spans="1:4" ht="12.75">
      <c r="A10" s="153">
        <v>6</v>
      </c>
      <c r="B10" s="154" t="s">
        <v>189</v>
      </c>
      <c r="C10" s="155">
        <v>270.78479999999996</v>
      </c>
      <c r="D10" s="199"/>
    </row>
    <row r="11" spans="1:4" ht="12.75">
      <c r="A11" s="156">
        <v>7</v>
      </c>
      <c r="B11" s="157" t="s">
        <v>190</v>
      </c>
      <c r="C11" s="234">
        <f>SUM(C5:C10)</f>
        <v>515.7845862331998</v>
      </c>
      <c r="D11" s="199"/>
    </row>
    <row r="13" ht="12.75">
      <c r="C13" s="127"/>
    </row>
    <row r="15" spans="1:4" ht="15.75">
      <c r="A15" s="261" t="s">
        <v>240</v>
      </c>
      <c r="B15" s="261"/>
      <c r="C15" s="262"/>
      <c r="D15" s="262"/>
    </row>
  </sheetData>
  <sheetProtection/>
  <mergeCells count="3">
    <mergeCell ref="A1:C1"/>
    <mergeCell ref="A2:C2"/>
    <mergeCell ref="A15:D15"/>
  </mergeCells>
  <printOptions/>
  <pageMargins left="0.86" right="0.29" top="0.75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Кочнева</cp:lastModifiedBy>
  <cp:lastPrinted>2014-10-27T10:43:36Z</cp:lastPrinted>
  <dcterms:created xsi:type="dcterms:W3CDTF">1996-10-08T23:32:33Z</dcterms:created>
  <dcterms:modified xsi:type="dcterms:W3CDTF">2014-11-12T06:29:04Z</dcterms:modified>
  <cp:category/>
  <cp:version/>
  <cp:contentType/>
  <cp:contentStatus/>
</cp:coreProperties>
</file>